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385" windowHeight="7665" firstSheet="10" activeTab="17"/>
  </bookViews>
  <sheets>
    <sheet name="местный" sheetId="1" r:id="rId1"/>
    <sheet name="государствен." sheetId="2" r:id="rId2"/>
    <sheet name="2210-070101" sheetId="3" r:id="rId3"/>
    <sheet name="2210-070201" sheetId="4" r:id="rId4"/>
    <sheet name="2210-070401" sheetId="5" r:id="rId5"/>
    <sheet name="2210-070802" sheetId="6" r:id="rId6"/>
    <sheet name="2210-070803" sheetId="7" r:id="rId7"/>
    <sheet name="2210-070804" sheetId="8" r:id="rId8"/>
    <sheet name="2240-070101св." sheetId="9" r:id="rId9"/>
    <sheet name="2240-070101" sheetId="10" r:id="rId10"/>
    <sheet name="2240-070201св." sheetId="11" r:id="rId11"/>
    <sheet name="2240-070201" sheetId="12" r:id="rId12"/>
    <sheet name="2240-070401св." sheetId="13" r:id="rId13"/>
    <sheet name="2240-070401" sheetId="14" r:id="rId14"/>
    <sheet name="2240-070802" sheetId="15" r:id="rId15"/>
    <sheet name="2240-070803св." sheetId="16" r:id="rId16"/>
    <sheet name="2240-070803" sheetId="17" r:id="rId17"/>
    <sheet name="2240-070804" sheetId="18" r:id="rId18"/>
  </sheets>
  <definedNames/>
  <calcPr fullCalcOnLoad="1"/>
</workbook>
</file>

<file path=xl/sharedStrings.xml><?xml version="1.0" encoding="utf-8"?>
<sst xmlns="http://schemas.openxmlformats.org/spreadsheetml/2006/main" count="766" uniqueCount="371">
  <si>
    <t>БЮДЖЕТ -  МЕСТНЫЙ  на 2015г.</t>
  </si>
  <si>
    <t>\  индивидуальный \</t>
  </si>
  <si>
    <t>(тыс.грн.)</t>
  </si>
  <si>
    <t>КЭКВ</t>
  </si>
  <si>
    <t>ВСЕГО</t>
  </si>
  <si>
    <t>Зарплата</t>
  </si>
  <si>
    <t>Нач.на з\пл.</t>
  </si>
  <si>
    <t>Приобр.матер.,обор. и инвент.</t>
  </si>
  <si>
    <t>Медикам.</t>
  </si>
  <si>
    <t>Питание</t>
  </si>
  <si>
    <t>Оплата  услуг (кроме коммун.)</t>
  </si>
  <si>
    <t>Расходы    на     команд.</t>
  </si>
  <si>
    <t xml:space="preserve">  Тепло</t>
  </si>
  <si>
    <t xml:space="preserve">    Вода</t>
  </si>
  <si>
    <t>Эл.энер.</t>
  </si>
  <si>
    <t>Прочие выплаты населению</t>
  </si>
  <si>
    <t>Приобр.оборуд. и предм.долгоср.испол.</t>
  </si>
  <si>
    <t>Капр.друг.объектов.</t>
  </si>
  <si>
    <t>Реконстр. и реставр. других объект.</t>
  </si>
  <si>
    <t xml:space="preserve"> ДДУ  № 2</t>
  </si>
  <si>
    <t xml:space="preserve"> СШ  №  8</t>
  </si>
  <si>
    <t>Лицей</t>
  </si>
  <si>
    <t>Дом твор.</t>
  </si>
  <si>
    <t>ЦХЭТУМ</t>
  </si>
  <si>
    <t>КФК--070401</t>
  </si>
  <si>
    <t>РМПК</t>
  </si>
  <si>
    <t>Лог. № 131</t>
  </si>
  <si>
    <t>метод каб.</t>
  </si>
  <si>
    <t>КФК-070802</t>
  </si>
  <si>
    <t xml:space="preserve">  Ц\Б</t>
  </si>
  <si>
    <t>ГТН</t>
  </si>
  <si>
    <t>КФК-070808</t>
  </si>
  <si>
    <t>КФК-070000</t>
  </si>
  <si>
    <t>КФК-091108</t>
  </si>
  <si>
    <t>КФК-070101</t>
  </si>
  <si>
    <t>Гаэ</t>
  </si>
  <si>
    <t>Исслед. и разраб., мероприят.по реализ.госуд.программ</t>
  </si>
  <si>
    <t>Прочие текущие расходы</t>
  </si>
  <si>
    <t>КФК-070201</t>
  </si>
  <si>
    <t>КФК-010116</t>
  </si>
  <si>
    <t>БЮДЖЕТ  - ГОСУДАРСТВЕННЫЙ  на 2015г.</t>
  </si>
  <si>
    <t xml:space="preserve"> ВСЕГО</t>
  </si>
  <si>
    <t>Карпова Р.Д.,23-21-11</t>
  </si>
  <si>
    <t>Розрахунок до  бюджету на 2015 р. по КЕКВ-2210</t>
  </si>
  <si>
    <t xml:space="preserve">КЕКВ-2210 </t>
  </si>
  <si>
    <t>№ зак.</t>
  </si>
  <si>
    <t>Придбання</t>
  </si>
  <si>
    <t>Підписка</t>
  </si>
  <si>
    <t>Всього</t>
  </si>
  <si>
    <t>Рубіроїд</t>
  </si>
  <si>
    <t>Ліжка</t>
  </si>
  <si>
    <t>Столики 2-х містні</t>
  </si>
  <si>
    <t>Стільці дитячі</t>
  </si>
  <si>
    <t>Шафи 5-ти містні</t>
  </si>
  <si>
    <t>Шафи для іграшок</t>
  </si>
  <si>
    <t>"Дошкільне виховання"</t>
  </si>
  <si>
    <t>"Вихователь методист"</t>
  </si>
  <si>
    <t>"Джерело"</t>
  </si>
  <si>
    <t>"Освіта України"</t>
  </si>
  <si>
    <t>к-сть</t>
  </si>
  <si>
    <t>ціна</t>
  </si>
  <si>
    <t>сума</t>
  </si>
  <si>
    <t>грн.</t>
  </si>
  <si>
    <t>тис.грн.</t>
  </si>
  <si>
    <t>ДНЗ №2</t>
  </si>
  <si>
    <t>Виконавець Баленко В.В., т.23-21-11</t>
  </si>
  <si>
    <t>Розрахунок до кошторису на 2014 р. по КЕКВ-2210</t>
  </si>
  <si>
    <t>КФК - 070201</t>
  </si>
  <si>
    <t>№ закл.</t>
  </si>
  <si>
    <t xml:space="preserve">Всього </t>
  </si>
  <si>
    <t>Одяг для випускників з числа дітей-сиріт та дітей, позбавлених батьківського піклування, які будуть працевлаштовані</t>
  </si>
  <si>
    <t>Шкільна форма</t>
  </si>
  <si>
    <t>Спортивна форма</t>
  </si>
  <si>
    <t>"Єдиних квитків"</t>
  </si>
  <si>
    <t>кільк.</t>
  </si>
  <si>
    <t>варт.</t>
  </si>
  <si>
    <t>СШ № 8</t>
  </si>
  <si>
    <t>ліцей</t>
  </si>
  <si>
    <t xml:space="preserve">     Розрахунок до проекту  бюджету по  КЕКВ-2210    на  2015 р. </t>
  </si>
  <si>
    <t>КФК-070401</t>
  </si>
  <si>
    <t>КЕКВ-2210</t>
  </si>
  <si>
    <t>Видатки на виконання програм розвитку позашкільної освіти (Буд.творч.)</t>
  </si>
  <si>
    <t>Підписка періодичних видань</t>
  </si>
  <si>
    <t>Квіти</t>
  </si>
  <si>
    <t>Подарунки</t>
  </si>
  <si>
    <t>Призи</t>
  </si>
  <si>
    <t>Разом</t>
  </si>
  <si>
    <t>к-сть учнів</t>
  </si>
  <si>
    <t>од. вим.</t>
  </si>
  <si>
    <t>Буд твор.</t>
  </si>
  <si>
    <t>Миючі засоби</t>
  </si>
  <si>
    <t>шт</t>
  </si>
  <si>
    <t>"Освіта Дніпроп."</t>
  </si>
  <si>
    <t>Чистячі засоби</t>
  </si>
  <si>
    <t>Лампи ел.</t>
  </si>
  <si>
    <t>Мило туалетне</t>
  </si>
  <si>
    <t>Віники</t>
  </si>
  <si>
    <t>ЦХЕТУМ</t>
  </si>
  <si>
    <t>Розрахунок до  бюджету на 2015р. по КЕКВ-2210</t>
  </si>
  <si>
    <t xml:space="preserve">КЕКВ - 2210 </t>
  </si>
  <si>
    <t>Найменування</t>
  </si>
  <si>
    <t>РПМПК</t>
  </si>
  <si>
    <t>Метод. Кабінет</t>
  </si>
  <si>
    <t>од.</t>
  </si>
  <si>
    <t>вартість</t>
  </si>
  <si>
    <t xml:space="preserve">Всього   </t>
  </si>
  <si>
    <t>вим.</t>
  </si>
  <si>
    <t>Папір (А-4)</t>
  </si>
  <si>
    <t>пач.</t>
  </si>
  <si>
    <t>Картридж до прінтеру</t>
  </si>
  <si>
    <t>Теки</t>
  </si>
  <si>
    <t>шт.</t>
  </si>
  <si>
    <t>Швидкосшивач</t>
  </si>
  <si>
    <t>Авторучки</t>
  </si>
  <si>
    <t>Олівець</t>
  </si>
  <si>
    <t>Клей</t>
  </si>
  <si>
    <t>Файли</t>
  </si>
  <si>
    <t>уп.</t>
  </si>
  <si>
    <t>Файлонакоплювач</t>
  </si>
  <si>
    <t>Розрахунок до   бюджету на 2015р. по КЕКВ-2210</t>
  </si>
  <si>
    <t>КФК-070803</t>
  </si>
  <si>
    <t>Папір А-3</t>
  </si>
  <si>
    <t>п</t>
  </si>
  <si>
    <t>Картридж до ксероксу</t>
  </si>
  <si>
    <t>Факспапір</t>
  </si>
  <si>
    <t>рул</t>
  </si>
  <si>
    <t>Мастило</t>
  </si>
  <si>
    <t>л</t>
  </si>
  <si>
    <t>Гальмова рідина</t>
  </si>
  <si>
    <t>бут</t>
  </si>
  <si>
    <t>Запчастини</t>
  </si>
  <si>
    <t>Бензин для автомобілю ВАЗ-21070</t>
  </si>
  <si>
    <t xml:space="preserve">( 9,6 л : 100 км х 90 км в день х </t>
  </si>
  <si>
    <t>днів</t>
  </si>
  <si>
    <t>х 17,60 грн. = 152,06 грн.в день)</t>
  </si>
  <si>
    <t xml:space="preserve">Розрахунок до   бюджету на 2015р. по  КЕКВ-2210. </t>
  </si>
  <si>
    <t>КФК-070804</t>
  </si>
  <si>
    <t>\ грн.\</t>
  </si>
  <si>
    <t>Папір (А-3)</t>
  </si>
  <si>
    <t>Флешки</t>
  </si>
  <si>
    <t>Ампули</t>
  </si>
  <si>
    <t>Скоби</t>
  </si>
  <si>
    <t>уп</t>
  </si>
  <si>
    <t>Олівці мех.</t>
  </si>
  <si>
    <t>Ластик</t>
  </si>
  <si>
    <t>Коректор</t>
  </si>
  <si>
    <t>Бланки</t>
  </si>
  <si>
    <t xml:space="preserve">          "Баланс - Бюджет"</t>
  </si>
  <si>
    <t xml:space="preserve">          "Праця і зарплата"</t>
  </si>
  <si>
    <t>Розрахунок до  кошторису на   2015 р. по КЕКВ-2240</t>
  </si>
  <si>
    <t>по ДНЗ АНД райво.</t>
  </si>
  <si>
    <t>КФК- 070101</t>
  </si>
  <si>
    <t>За розрахунками госп.групи</t>
  </si>
  <si>
    <t>Послуги банку 0,15%</t>
  </si>
  <si>
    <t>Інформаційні послуги у сфері державних закупівель</t>
  </si>
  <si>
    <t>Всього         на 2015р. тис. грн.</t>
  </si>
  <si>
    <t xml:space="preserve"> ДНЗ  №    2</t>
  </si>
  <si>
    <t xml:space="preserve">по СШ АНД райво </t>
  </si>
  <si>
    <t>КФК- 070201</t>
  </si>
  <si>
    <t>Відрахування за послуги банку</t>
  </si>
  <si>
    <t>Всього     на 2015р. тис.грн.</t>
  </si>
  <si>
    <t>0,15%</t>
  </si>
  <si>
    <t>К-2730</t>
  </si>
  <si>
    <t>СШ  №  8</t>
  </si>
  <si>
    <t>Розрахунок до кошторису по КЕКВ -2240 на 2015р.</t>
  </si>
  <si>
    <t>Назва закл.</t>
  </si>
  <si>
    <t>Відрахування  за послуги банку</t>
  </si>
  <si>
    <t xml:space="preserve">Виконання програм </t>
  </si>
  <si>
    <t>Всього на 2015р.</t>
  </si>
  <si>
    <t>КЕКВ-2730</t>
  </si>
  <si>
    <t>Транспортне забезпечення свят (підвіз учнів)</t>
  </si>
  <si>
    <t>Художнє оформлення зали</t>
  </si>
  <si>
    <t>Б/тв</t>
  </si>
  <si>
    <t>070401</t>
  </si>
  <si>
    <t>Розрахунок до бюджету по КЕКВ -2240 на 2015р.</t>
  </si>
  <si>
    <t>Поточний ремонт автомобілю, тех.огляд</t>
  </si>
  <si>
    <t>Група за тех.нагл.</t>
  </si>
  <si>
    <t>КФК 070101</t>
  </si>
  <si>
    <t xml:space="preserve">                                                                                                                                                                                               по КЕКВ 2240 на   2015 р.</t>
  </si>
  <si>
    <t>Заклад</t>
  </si>
  <si>
    <t>Сума на                         2015 р., грн.</t>
  </si>
  <si>
    <t xml:space="preserve">                                                                                                                             розрахунок</t>
  </si>
  <si>
    <t>Дезінфекція, дератизація на 2015 рік, грн.</t>
  </si>
  <si>
    <t>Вивіз твердих побутових відходів на 2015 рік, грн.</t>
  </si>
  <si>
    <t>Всього по договорам на 2015 рік, грн</t>
  </si>
  <si>
    <t>Оформлення права власності на нерухоме майно, грн.</t>
  </si>
  <si>
    <t>Пропитка горища, грн.</t>
  </si>
  <si>
    <t>Добровільне страхування членів пожежної дружини, грн.</t>
  </si>
  <si>
    <t>№ договору</t>
  </si>
  <si>
    <t>послуги зв"язку згідно договору</t>
  </si>
  <si>
    <t>Обслуговування систем доочистки води на 2015 р., грн.</t>
  </si>
  <si>
    <t>Оформлення актів на землю на 2015 р., грн</t>
  </si>
  <si>
    <t>Повірка приладів обліку на 2015 р., грн.</t>
  </si>
  <si>
    <t>спил дерев на 2015 р., грн</t>
  </si>
  <si>
    <t>Промивка системи опалення на 2015 рік, грн.</t>
  </si>
  <si>
    <t>Чистка димоходів на 2015 рік, грн.</t>
  </si>
  <si>
    <t>Всього  на 2015 р, грн.</t>
  </si>
  <si>
    <t>К-ть тел.</t>
  </si>
  <si>
    <t>вартість абон. плати, грн</t>
  </si>
  <si>
    <t>вартість абон. плати на місяць, грн</t>
  </si>
  <si>
    <t>Кількість місяців</t>
  </si>
  <si>
    <t>вартість абон. плати на  2015 р., грн</t>
  </si>
  <si>
    <t>Вартість. 1 хв.</t>
  </si>
  <si>
    <t>К-ть хв. в міс.</t>
  </si>
  <si>
    <t>Сума в грн. на міс.</t>
  </si>
  <si>
    <t>Сума в грн. на                         2015 р.</t>
  </si>
  <si>
    <t>Послуги станції, грн</t>
  </si>
  <si>
    <t>Сума в грн. на                    2015р.</t>
  </si>
  <si>
    <t>вартість абон. плати за користування інтернетом на місяць, грн</t>
  </si>
  <si>
    <t>вартість абон. плати на    2015 р.,грн</t>
  </si>
  <si>
    <t>Всього на послуги зв"язку на  2015 рік, грн.</t>
  </si>
  <si>
    <t>Технічне обслуговування установок пожежної сигналізації на 2015 рік, грн.</t>
  </si>
  <si>
    <t>Сума в місяць, грн.</t>
  </si>
  <si>
    <t>Сума на 2015 рік, грн.</t>
  </si>
  <si>
    <t>Д/К2</t>
  </si>
  <si>
    <t>1інд</t>
  </si>
  <si>
    <t xml:space="preserve"> Укртелеком,  Дніпроспецнагляд , Астрал Н, ТЕХТРАНСЕКО,Тесьолкіна І.Ю.</t>
  </si>
  <si>
    <t>2інд</t>
  </si>
  <si>
    <t xml:space="preserve"> Укртелеком,Астрал Н, ТЕХТРАНСЕКО, Тесьолкіна І.Ю.</t>
  </si>
  <si>
    <t>Астрал Н, ТЕХТРАНСЕКО, Тесьолкіна І.Ю.</t>
  </si>
  <si>
    <t>Астрал Н, ТЕХТРАНСЕКО, Тесьолкіна І.Ю., Фарлеп-Інвест</t>
  </si>
  <si>
    <t xml:space="preserve"> Укртелеком, Астрал Н,ТЕХТРАНСЕКО,Тесьолкіна І.Ю.</t>
  </si>
  <si>
    <t>Укртелеком, Астрал Н, ТЕХТРАНСЕКО, Тесьолкіна І.Ю.</t>
  </si>
  <si>
    <t>1інд, 1дод</t>
  </si>
  <si>
    <t>39,91+3,84</t>
  </si>
  <si>
    <t>39,91+7,68</t>
  </si>
  <si>
    <t>0,50х2</t>
  </si>
  <si>
    <t>Астрал Н,ТЕХТРАНСЕКО, Тесьолкіна І.Ю., Фарлеп-Інвест</t>
  </si>
  <si>
    <t xml:space="preserve"> Укртелеком,Астрал Н,ТЕХТРАНСЕКО, Тесьолкіна І.Ю.</t>
  </si>
  <si>
    <t>ПрАТ" Сі-Ес-Ті Інвест", Астрал Н, ТЕХТРАНСЕКО</t>
  </si>
  <si>
    <t>Фахівець І категорії групи технагляду</t>
  </si>
  <si>
    <t>О.С.Сосницька</t>
  </si>
  <si>
    <t xml:space="preserve">                                                                                                                                                                                             Розрахунок  до  бюджету</t>
  </si>
  <si>
    <t>КФК 070201</t>
  </si>
  <si>
    <t xml:space="preserve">                                                                                                                                                                                              на   2015 р.</t>
  </si>
  <si>
    <t xml:space="preserve"> Сума на     2015 р., грн.</t>
  </si>
  <si>
    <t>Розрахунок</t>
  </si>
  <si>
    <t>Примітка</t>
  </si>
  <si>
    <t>за комунальні послуги згідно договорів</t>
  </si>
  <si>
    <t>К-сть міс.</t>
  </si>
  <si>
    <t>вартість абон. плати на 2015 р., грн</t>
  </si>
  <si>
    <t>Вар -тість.    1 хв.</t>
  </si>
  <si>
    <t>Сума в грн. на   2015 р.</t>
  </si>
  <si>
    <t>вартість абон. плати на      2015 р.,грн</t>
  </si>
  <si>
    <t>Всього на послуги зв"язку на  2014 рік, грн.</t>
  </si>
  <si>
    <t>технічне обслуговування газового обладнання та КИПіА в котельні, на 2015 р., грн.</t>
  </si>
  <si>
    <t>Профілактика обслуговування газопроводу,  грн.</t>
  </si>
  <si>
    <t>Обслуговування коректорів об'єму газу в 2015 році, грн.</t>
  </si>
  <si>
    <t>технічне обслуговування  установок пожежної сигналізації на 2015 рік, грн.</t>
  </si>
  <si>
    <t>Технічне обслуговування басейну на 2015 р., грн.</t>
  </si>
  <si>
    <t>Обслуговування систем доочистки води, грн.</t>
  </si>
  <si>
    <t>Вивіз твердих побутових відходів, грн.</t>
  </si>
  <si>
    <t>Вивіз рідких побутових відходів, грн.</t>
  </si>
  <si>
    <t>Всього по договорам на 2015 р., грн.</t>
  </si>
  <si>
    <t>Сума за місяць, грн</t>
  </si>
  <si>
    <t>Сума на 2015 р., грн.</t>
  </si>
  <si>
    <t>Всього на рік, грн.</t>
  </si>
  <si>
    <t>Сума на рік, грн.</t>
  </si>
  <si>
    <t>Сума на 2014 р., грн.</t>
  </si>
  <si>
    <t>К-ть місяців</t>
  </si>
  <si>
    <t>СШ    8</t>
  </si>
  <si>
    <t xml:space="preserve"> Укртелеком, Астрал Н,ТЕХТРАНСЕКО</t>
  </si>
  <si>
    <t>Датагруп, Дніпрогаз, Людвік-С, Астрал Н, ТЕХТРАНСЕКО, Ергомера, Дніпрокомунтранс.</t>
  </si>
  <si>
    <t>1 інд</t>
  </si>
  <si>
    <t>Датагруп, Астрал Н, ГТЕХТРАНСЕКО</t>
  </si>
  <si>
    <t>1інд, 1дод.</t>
  </si>
  <si>
    <t>Укртелеком, Астрал Н, ТЕХТРАНСЕКО, Дніпрогаз, Ергомера, Дніпропетровське облспецРБП ПР</t>
  </si>
  <si>
    <t>2 інд</t>
  </si>
  <si>
    <t>35,89+39,92</t>
  </si>
  <si>
    <t>Укртелеком, Мегалінк,ТЕХТРАНСЕКО, Астрал Н.</t>
  </si>
  <si>
    <t>2інд, 2дод.</t>
  </si>
  <si>
    <t>39,92+3,84</t>
  </si>
  <si>
    <t>Укртелеком,Телеміст,ТЕХТРАНСЕКО, Астрал Н., Тесьолкіна І.Ю.</t>
  </si>
  <si>
    <t>1інд., 1дод.</t>
  </si>
  <si>
    <t>Укртелеком, Астрал Н, ТЕХТРАНСЕКО</t>
  </si>
  <si>
    <t xml:space="preserve"> Укртелеком, Ергомера, Дніпрогаз, Астрал Н, ТЕХТРАНСЕКО</t>
  </si>
  <si>
    <t>1 інд.</t>
  </si>
  <si>
    <t>Укртелеком, Телеміст, Астрал Н, ТЕХТРАНСЕКО</t>
  </si>
  <si>
    <t>1 інд. 1 дод.</t>
  </si>
  <si>
    <t>35,89+19,38</t>
  </si>
  <si>
    <t>Укртелеком, Надія, Дніпрогаз,Ергомера, Дніпркомунтранс ,Астрал Н,ТЕХТРАНСЕКО</t>
  </si>
  <si>
    <t>Датагруп, Астрал Н,ТЕХТРАНСЕКО</t>
  </si>
  <si>
    <t>№ 74380 від 26.01.01р. Укртелеком   Договір з Надія, з ФОП Олефіренко С.В.</t>
  </si>
  <si>
    <t>Укртелеком, Дніпрогаз, Егромера, Астрал Н, ТЕХТРАНСЕКО, Дніпрокомунтранс.</t>
  </si>
  <si>
    <t>Укртелеком, Дніпрогаз, Егромера, Астрал Н, Людвік-С ТЕХТРАНСЕКО, Дніпрокомунтранс.</t>
  </si>
  <si>
    <t>Укртелеком, Надія, Егромера, Астрал Н,ТЕХТРАНСЕКО, Дніпрокомунтранс.</t>
  </si>
  <si>
    <t>3 інд</t>
  </si>
  <si>
    <t>Укртелеком, Дніпрогаз, Астрал Н, ТЕХТРАНСЕКО, Дніпрокомунтранс.</t>
  </si>
  <si>
    <t xml:space="preserve"> Укртелеком ,Дніпрогаз, Ергомера, Теплогазбуд,ТЕХТРАНСЕКО, Астрал Н, Дніпрокомунтранс</t>
  </si>
  <si>
    <t xml:space="preserve"> Укртелеком, Астрал Н, ТЕХТРАНСЕКО.</t>
  </si>
  <si>
    <t xml:space="preserve"> Укртелеком, Астрал Н,ТЕХТРАНСЕКО.</t>
  </si>
  <si>
    <t>Фарлеп-Інвест, Астрал Н, ТЕХТРАНСЕКО,                               ФОП Оспапенко Д.Ю.</t>
  </si>
  <si>
    <t>Фарлеп-Інвест, Астрал Н, ТЕХТРАНСЕКО.</t>
  </si>
  <si>
    <t>ФЕЛ</t>
  </si>
  <si>
    <t>Дніпрогаз,ТЕХТРАНСЕКО, Астрал Н, Ергомера</t>
  </si>
  <si>
    <t>О.С. Сосницька</t>
  </si>
  <si>
    <t xml:space="preserve">                                                                                                                                                             Розрахунок до  бюджету по КЕКВ 2240</t>
  </si>
  <si>
    <t>обслуговування котелень, сума на 2015 р., грн.</t>
  </si>
  <si>
    <t>КФК 070401</t>
  </si>
  <si>
    <t xml:space="preserve">                                                                                                                                 на   2015 р.</t>
  </si>
  <si>
    <t>Сума на    2015 р., грн.</t>
  </si>
  <si>
    <t xml:space="preserve">Розрахунок до кошторису </t>
  </si>
  <si>
    <t>Всього по договорам на 2015 рік, грн.</t>
  </si>
  <si>
    <t>Повірка приладів обліку, грн.</t>
  </si>
  <si>
    <t>Чистка димоходів, грн</t>
  </si>
  <si>
    <t>Промивка системи опалення, грн.</t>
  </si>
  <si>
    <t>Просочення горищ вогнезахисним розчином, грн.</t>
  </si>
  <si>
    <t>Оформлення актів на землю, грн</t>
  </si>
  <si>
    <t>Всього на 2015 рік, грн.</t>
  </si>
  <si>
    <t xml:space="preserve">      Охорона об"єкту на 2015 р., грн.                                                                                              </t>
  </si>
  <si>
    <t>Обслуговування пожежної сигналізації на рік, грн.</t>
  </si>
  <si>
    <t>Технічне обслуговування газового обладнання та  КИПіА в котельні, грн.</t>
  </si>
  <si>
    <t>Профілактика обслуговування газопроводу у 2015 році, грн.</t>
  </si>
  <si>
    <t>Обслуговування коректорів об"єму газу в 2015 році, грн.</t>
  </si>
  <si>
    <t>Дезінфекція, дератизація в 2015 році, грн.</t>
  </si>
  <si>
    <t>Оформлення права власності на нерухоме майно. Грн.</t>
  </si>
  <si>
    <t>Вартість 1 хв.</t>
  </si>
  <si>
    <t xml:space="preserve">Всього на послуги зв"язку на 2015 р., грн. </t>
  </si>
  <si>
    <t>Сума на рік, грн</t>
  </si>
  <si>
    <t>Всього  на 2015 рік, грн</t>
  </si>
  <si>
    <t>Бтв</t>
  </si>
  <si>
    <t>1 інд,    1 дод.</t>
  </si>
  <si>
    <t>39,91+ 3,84</t>
  </si>
  <si>
    <t>Укртелеком, Астрал Н, ТЕХТРАНСЕКО, УДСО при ГУМВС, Дніпроспецсигнал</t>
  </si>
  <si>
    <t>Укртелеком, Астрал Н, ТЕХТРАНСЕКО, Дніпрогаз, Ергомера, Людвік-С.</t>
  </si>
  <si>
    <t>В.С.Гавеля</t>
  </si>
  <si>
    <t xml:space="preserve">                                                                                                     Розрахунок до  бюджету по КЕКВ 2240</t>
  </si>
  <si>
    <t>Сума в грн. на  2015р.</t>
  </si>
  <si>
    <t>КФК 070803</t>
  </si>
  <si>
    <t xml:space="preserve">                                                                                                               на  2015 рік</t>
  </si>
  <si>
    <t>поточний ремонт обладнання, грн.</t>
  </si>
  <si>
    <t>Заправка принтеру, ксероксу на 2015 рік, грн.</t>
  </si>
  <si>
    <t>Страхування нерухомого майна, грн.</t>
  </si>
  <si>
    <t>Вивіз твердих побутових відходів у 2015 році, грн.</t>
  </si>
  <si>
    <t xml:space="preserve"> Дезінфекція на 2015 рік, грн.</t>
  </si>
  <si>
    <r>
      <t>послуги зв</t>
    </r>
    <r>
      <rPr>
        <sz val="12"/>
        <rFont val="Arial"/>
        <family val="2"/>
      </rPr>
      <t>'</t>
    </r>
    <r>
      <rPr>
        <sz val="12"/>
        <rFont val="Arial Cyr"/>
        <family val="2"/>
      </rPr>
      <t>язку згідно договору</t>
    </r>
  </si>
  <si>
    <t>Сума в грн. на 2015 р.</t>
  </si>
  <si>
    <r>
      <t>Всього на послуги зв</t>
    </r>
    <r>
      <rPr>
        <sz val="12"/>
        <rFont val="Arial"/>
        <family val="2"/>
      </rPr>
      <t>'</t>
    </r>
    <r>
      <rPr>
        <sz val="12"/>
        <rFont val="Arial Cyr"/>
        <family val="2"/>
      </rPr>
      <t>язку на 2015 р., грн.</t>
    </r>
  </si>
  <si>
    <t>ціна за 1 од.</t>
  </si>
  <si>
    <t>кількість</t>
  </si>
  <si>
    <t>сума на рік, грн.</t>
  </si>
  <si>
    <t>Метод. Каб.</t>
  </si>
  <si>
    <t>Укртелеком , Сомоволик О.М.,договір з АНД районною у місті радою</t>
  </si>
  <si>
    <t>Фахівець І категорії  групи технагляду</t>
  </si>
  <si>
    <t>КФК 070802</t>
  </si>
  <si>
    <t xml:space="preserve">                                                                                Розрахунок  до  бюджету по КЕКВ 2240</t>
  </si>
  <si>
    <t>Розрахунок до кошторису на 2015 рік</t>
  </si>
  <si>
    <t>Сума на 2015р., грн.</t>
  </si>
  <si>
    <t>на  2015 рік</t>
  </si>
  <si>
    <t>Дезінфекція у 2015 році, грн.</t>
  </si>
  <si>
    <t>Поточний ремонт обладнання, грн.</t>
  </si>
  <si>
    <t>Сума в грн. на 2015р.</t>
  </si>
  <si>
    <t>Група технагляду</t>
  </si>
  <si>
    <t>Укртелеком, Самоволик О.М.,договір з АНД районною у місті Дніпропетровську радою</t>
  </si>
  <si>
    <t>Розрахунок до  бюджету по КЕКВ 2240</t>
  </si>
  <si>
    <t>КФК 070804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</si>
  <si>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</si>
  <si>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</t>
  </si>
  <si>
    <t>на 2015 рік</t>
  </si>
  <si>
    <t>Сума на   2015 р., грн.</t>
  </si>
  <si>
    <t xml:space="preserve">Розрахунок до  кошторису </t>
  </si>
  <si>
    <t>Обслуговування програми, грн</t>
  </si>
  <si>
    <t>Заправка принтеру, ксероксу, грн.</t>
  </si>
  <si>
    <t>Сума в грн. на  2015 р.</t>
  </si>
  <si>
    <t>Користування інтернетом, в міс.</t>
  </si>
  <si>
    <r>
      <t>Всього на послуги зв</t>
    </r>
    <r>
      <rPr>
        <b/>
        <sz val="12"/>
        <rFont val="Arial"/>
        <family val="2"/>
      </rPr>
      <t>'</t>
    </r>
    <r>
      <rPr>
        <b/>
        <sz val="12"/>
        <rFont val="Arial Cyr"/>
        <family val="2"/>
      </rPr>
      <t>язку на 2015 р., грн.</t>
    </r>
  </si>
  <si>
    <t>сума на 2015 рік, грн.</t>
  </si>
  <si>
    <t>ЦБ</t>
  </si>
  <si>
    <t>5 інд., 3 дод.</t>
  </si>
  <si>
    <t xml:space="preserve"> Укртелеком, Сомоволик О.М., договір з АНД районною у місті Дніпропетровську радою</t>
  </si>
  <si>
    <t>Всього на інтернет на 2015 р., грн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</si>
</sst>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</numFmts>
  <fonts count="16">
    <font>
      <sz val="10"/>
      <name val="Arial Cyr"/>
      <family val="0"/>
    </font>
    <font>
      <sz val="12"/>
      <name val="Arial Narrow"/>
      <family val="2"/>
    </font>
    <font>
      <sz val="11"/>
      <name val="Arial Narrow"/>
      <family val="2"/>
    </font>
    <font>
      <i/>
      <sz val="12"/>
      <name val="Arial Narrow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/>
    </xf>
    <xf numFmtId="0" fontId="5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/>
    </xf>
    <xf numFmtId="164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10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Border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2" fontId="11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5" fillId="2" borderId="19" xfId="0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19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5" fillId="2" borderId="23" xfId="0" applyFill="1" applyBorder="1" applyAlignment="1">
      <alignment horizontal="center" wrapText="1"/>
    </xf>
    <xf numFmtId="0" fontId="5" fillId="2" borderId="24" xfId="0" applyFill="1" applyBorder="1" applyAlignment="1">
      <alignment horizontal="center" wrapText="1"/>
    </xf>
    <xf numFmtId="0" fontId="5" fillId="2" borderId="25" xfId="0" applyFill="1" applyBorder="1" applyAlignment="1">
      <alignment horizontal="center" wrapText="1"/>
    </xf>
    <xf numFmtId="0" fontId="5" fillId="2" borderId="17" xfId="0" applyFill="1" applyBorder="1" applyAlignment="1">
      <alignment horizontal="center" vertical="center"/>
    </xf>
    <xf numFmtId="0" fontId="5" fillId="2" borderId="17" xfId="0" applyFill="1" applyBorder="1" applyAlignment="1">
      <alignment horizontal="center" vertical="center" wrapText="1"/>
    </xf>
    <xf numFmtId="0" fontId="5" fillId="2" borderId="17" xfId="0" applyFill="1" applyBorder="1" applyAlignment="1">
      <alignment/>
    </xf>
    <xf numFmtId="0" fontId="11" fillId="2" borderId="17" xfId="0" applyFont="1" applyFill="1" applyBorder="1" applyAlignment="1">
      <alignment horizontal="center" vertical="center" wrapText="1"/>
    </xf>
    <xf numFmtId="0" fontId="5" fillId="2" borderId="23" xfId="0" applyFill="1" applyBorder="1" applyAlignment="1">
      <alignment/>
    </xf>
    <xf numFmtId="0" fontId="0" fillId="2" borderId="25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9" fillId="2" borderId="17" xfId="0" applyNumberFormat="1" applyFont="1" applyFill="1" applyBorder="1" applyAlignment="1">
      <alignment horizontal="center"/>
    </xf>
    <xf numFmtId="2" fontId="9" fillId="2" borderId="17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left" wrapText="1"/>
    </xf>
    <xf numFmtId="0" fontId="5" fillId="3" borderId="0" xfId="0" applyFill="1" applyAlignment="1">
      <alignment/>
    </xf>
    <xf numFmtId="0" fontId="11" fillId="2" borderId="23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left"/>
    </xf>
    <xf numFmtId="0" fontId="11" fillId="2" borderId="13" xfId="0" applyFont="1" applyFill="1" applyBorder="1" applyAlignment="1">
      <alignment/>
    </xf>
    <xf numFmtId="2" fontId="8" fillId="2" borderId="12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1" fontId="9" fillId="2" borderId="25" xfId="18" applyNumberFormat="1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ill="1" applyAlignment="1">
      <alignment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5" fillId="2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ill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0" xfId="0" applyAlignment="1">
      <alignment horizontal="center" vertical="justify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2" borderId="15" xfId="0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justify" wrapText="1"/>
    </xf>
    <xf numFmtId="0" fontId="9" fillId="2" borderId="12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justify" wrapText="1"/>
    </xf>
    <xf numFmtId="0" fontId="9" fillId="2" borderId="12" xfId="0" applyFont="1" applyFill="1" applyBorder="1" applyAlignment="1">
      <alignment horizontal="center" vertical="justify"/>
    </xf>
    <xf numFmtId="0" fontId="9" fillId="2" borderId="13" xfId="0" applyFont="1" applyFill="1" applyBorder="1" applyAlignment="1">
      <alignment horizontal="center" vertical="justify"/>
    </xf>
    <xf numFmtId="0" fontId="9" fillId="2" borderId="12" xfId="0" applyFont="1" applyFill="1" applyBorder="1" applyAlignment="1">
      <alignment vertical="justify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0" fontId="5" fillId="2" borderId="17" xfId="0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5" fillId="2" borderId="0" xfId="0" applyFill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0" fontId="5" fillId="2" borderId="12" xfId="0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5" fillId="2" borderId="0" xfId="0" applyFill="1" applyBorder="1" applyAlignment="1">
      <alignment horizontal="center" vertical="center"/>
    </xf>
    <xf numFmtId="0" fontId="5" fillId="2" borderId="15" xfId="0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2" fontId="9" fillId="2" borderId="31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0" fontId="5" fillId="2" borderId="32" xfId="0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5" fillId="3" borderId="0" xfId="0" applyFill="1" applyAlignment="1">
      <alignment horizontal="center" vertical="center"/>
    </xf>
    <xf numFmtId="2" fontId="9" fillId="2" borderId="12" xfId="0" applyNumberFormat="1" applyFont="1" applyFill="1" applyBorder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 wrapText="1"/>
    </xf>
    <xf numFmtId="2" fontId="9" fillId="2" borderId="19" xfId="0" applyNumberFormat="1" applyFont="1" applyFill="1" applyBorder="1" applyAlignment="1">
      <alignment vertical="center"/>
    </xf>
    <xf numFmtId="0" fontId="9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" fontId="9" fillId="2" borderId="19" xfId="0" applyNumberFormat="1" applyFont="1" applyFill="1" applyBorder="1" applyAlignment="1">
      <alignment vertical="center"/>
    </xf>
    <xf numFmtId="2" fontId="8" fillId="2" borderId="13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2" fontId="9" fillId="2" borderId="17" xfId="0" applyNumberFormat="1" applyFont="1" applyFill="1" applyBorder="1" applyAlignment="1">
      <alignment vertical="center"/>
    </xf>
    <xf numFmtId="0" fontId="9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1" fontId="9" fillId="2" borderId="17" xfId="0" applyNumberFormat="1" applyFont="1" applyFill="1" applyBorder="1" applyAlignment="1">
      <alignment vertical="center"/>
    </xf>
    <xf numFmtId="2" fontId="8" fillId="2" borderId="13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0" xfId="0" applyAlignment="1">
      <alignment horizontal="center" vertical="center"/>
    </xf>
    <xf numFmtId="0" fontId="5" fillId="0" borderId="0" xfId="0" applyAlignment="1">
      <alignment horizontal="center"/>
    </xf>
    <xf numFmtId="0" fontId="5" fillId="2" borderId="0" xfId="0" applyFill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2" fontId="5" fillId="2" borderId="0" xfId="0" applyNumberFormat="1" applyFill="1" applyAlignment="1">
      <alignment/>
    </xf>
    <xf numFmtId="0" fontId="10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38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ill="1" applyBorder="1" applyAlignment="1">
      <alignment horizontal="center" vertical="center" wrapText="1"/>
    </xf>
    <xf numFmtId="0" fontId="5" fillId="2" borderId="22" xfId="0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justify" vertical="center" wrapText="1"/>
    </xf>
    <xf numFmtId="0" fontId="9" fillId="2" borderId="40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justify" vertical="center" wrapText="1"/>
    </xf>
    <xf numFmtId="0" fontId="9" fillId="2" borderId="36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justify" vertical="center"/>
    </xf>
    <xf numFmtId="0" fontId="9" fillId="2" borderId="40" xfId="0" applyFont="1" applyFill="1" applyBorder="1" applyAlignment="1">
      <alignment horizontal="justify" vertical="center" wrapText="1" readingOrder="2"/>
    </xf>
    <xf numFmtId="0" fontId="8" fillId="2" borderId="34" xfId="0" applyFont="1" applyFill="1" applyBorder="1" applyAlignment="1">
      <alignment vertical="center" wrapText="1"/>
    </xf>
    <xf numFmtId="0" fontId="5" fillId="2" borderId="41" xfId="0" applyFill="1" applyBorder="1" applyAlignment="1">
      <alignment horizontal="center" vertical="center" wrapText="1"/>
    </xf>
    <xf numFmtId="0" fontId="5" fillId="2" borderId="24" xfId="0" applyFill="1" applyBorder="1" applyAlignment="1">
      <alignment horizontal="center" vertical="center" wrapText="1"/>
    </xf>
    <xf numFmtId="0" fontId="5" fillId="2" borderId="25" xfId="0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43" xfId="0" applyFont="1" applyFill="1" applyBorder="1" applyAlignment="1">
      <alignment horizontal="justify" vertical="center" wrapText="1"/>
    </xf>
    <xf numFmtId="0" fontId="9" fillId="2" borderId="33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justify" vertical="center" wrapText="1"/>
    </xf>
    <xf numFmtId="0" fontId="5" fillId="0" borderId="27" xfId="0" applyBorder="1" applyAlignment="1">
      <alignment/>
    </xf>
    <xf numFmtId="0" fontId="9" fillId="2" borderId="43" xfId="0" applyFont="1" applyFill="1" applyBorder="1" applyAlignment="1">
      <alignment horizontal="justify" vertical="center" wrapText="1" readingOrder="2"/>
    </xf>
    <xf numFmtId="0" fontId="5" fillId="2" borderId="42" xfId="0" applyFill="1" applyBorder="1" applyAlignment="1">
      <alignment vertical="center" wrapText="1"/>
    </xf>
    <xf numFmtId="0" fontId="0" fillId="2" borderId="29" xfId="0" applyFont="1" applyFill="1" applyBorder="1" applyAlignment="1">
      <alignment horizontal="center" vertical="justify" wrapText="1"/>
    </xf>
    <xf numFmtId="0" fontId="0" fillId="2" borderId="12" xfId="0" applyFont="1" applyFill="1" applyBorder="1" applyAlignment="1">
      <alignment horizontal="center" vertical="justify"/>
    </xf>
    <xf numFmtId="0" fontId="5" fillId="2" borderId="13" xfId="0" applyFill="1" applyBorder="1" applyAlignment="1">
      <alignment horizontal="justify" vertical="center"/>
    </xf>
    <xf numFmtId="0" fontId="0" fillId="2" borderId="27" xfId="0" applyFont="1" applyFill="1" applyBorder="1" applyAlignment="1">
      <alignment horizontal="center" vertical="justify" wrapText="1"/>
    </xf>
    <xf numFmtId="0" fontId="0" fillId="2" borderId="17" xfId="0" applyFont="1" applyFill="1" applyBorder="1" applyAlignment="1">
      <alignment horizontal="center" vertical="justify"/>
    </xf>
    <xf numFmtId="0" fontId="5" fillId="2" borderId="23" xfId="0" applyFill="1" applyBorder="1" applyAlignment="1">
      <alignment horizontal="justify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1" fillId="2" borderId="12" xfId="0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2" fontId="9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0" fontId="5" fillId="2" borderId="16" xfId="0" applyFill="1" applyBorder="1" applyAlignment="1">
      <alignment/>
    </xf>
    <xf numFmtId="0" fontId="9" fillId="2" borderId="16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2" fontId="9" fillId="2" borderId="47" xfId="0" applyNumberFormat="1" applyFont="1" applyFill="1" applyBorder="1" applyAlignment="1">
      <alignment horizontal="center" vertical="center" wrapText="1"/>
    </xf>
    <xf numFmtId="2" fontId="9" fillId="2" borderId="47" xfId="0" applyNumberFormat="1" applyFont="1" applyFill="1" applyBorder="1" applyAlignment="1">
      <alignment horizontal="center" vertical="center"/>
    </xf>
    <xf numFmtId="0" fontId="9" fillId="2" borderId="47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1" fontId="9" fillId="2" borderId="47" xfId="0" applyNumberFormat="1" applyFont="1" applyFill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 vertical="center"/>
    </xf>
    <xf numFmtId="2" fontId="8" fillId="2" borderId="48" xfId="0" applyNumberFormat="1" applyFont="1" applyFill="1" applyBorder="1" applyAlignment="1">
      <alignment horizontal="center" vertical="center"/>
    </xf>
    <xf numFmtId="0" fontId="5" fillId="2" borderId="49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34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9" fillId="2" borderId="38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justify" vertical="center" wrapText="1"/>
    </xf>
    <xf numFmtId="0" fontId="9" fillId="2" borderId="51" xfId="0" applyFont="1" applyFill="1" applyBorder="1" applyAlignment="1">
      <alignment horizontal="justify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2" fontId="9" fillId="2" borderId="41" xfId="0" applyNumberFormat="1" applyFont="1" applyFill="1" applyBorder="1" applyAlignment="1">
      <alignment horizontal="center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44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2" fontId="9" fillId="2" borderId="42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2" fontId="9" fillId="2" borderId="53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2" fontId="8" fillId="2" borderId="54" xfId="0" applyNumberFormat="1" applyFont="1" applyFill="1" applyBorder="1" applyAlignment="1">
      <alignment horizontal="center" vertical="center" wrapText="1"/>
    </xf>
    <xf numFmtId="2" fontId="8" fillId="2" borderId="55" xfId="0" applyNumberFormat="1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2" fontId="8" fillId="2" borderId="53" xfId="0" applyNumberFormat="1" applyFont="1" applyFill="1" applyBorder="1" applyAlignment="1">
      <alignment horizontal="center" vertical="center" wrapText="1"/>
    </xf>
    <xf numFmtId="2" fontId="8" fillId="0" borderId="5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2" fontId="9" fillId="2" borderId="56" xfId="0" applyNumberFormat="1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57" xfId="0" applyNumberFormat="1" applyFont="1" applyFill="1" applyBorder="1" applyAlignment="1">
      <alignment horizontal="center" vertical="center" wrapText="1"/>
    </xf>
    <xf numFmtId="2" fontId="9" fillId="2" borderId="58" xfId="0" applyNumberFormat="1" applyFont="1" applyFill="1" applyBorder="1" applyAlignment="1">
      <alignment horizontal="center" vertical="center" wrapText="1"/>
    </xf>
    <xf numFmtId="1" fontId="9" fillId="2" borderId="59" xfId="0" applyNumberFormat="1" applyFont="1" applyFill="1" applyBorder="1" applyAlignment="1">
      <alignment horizontal="center" vertical="center" wrapText="1"/>
    </xf>
    <xf numFmtId="2" fontId="9" fillId="2" borderId="59" xfId="0" applyNumberFormat="1" applyFont="1" applyFill="1" applyBorder="1" applyAlignment="1">
      <alignment horizontal="center" vertical="center" wrapText="1"/>
    </xf>
    <xf numFmtId="2" fontId="8" fillId="2" borderId="56" xfId="0" applyNumberFormat="1" applyFont="1" applyFill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/>
    </xf>
    <xf numFmtId="0" fontId="9" fillId="0" borderId="36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justify" vertical="center"/>
    </xf>
    <xf numFmtId="0" fontId="9" fillId="0" borderId="32" xfId="0" applyFont="1" applyBorder="1" applyAlignment="1">
      <alignment horizontal="justify" vertical="center" wrapText="1"/>
    </xf>
    <xf numFmtId="0" fontId="9" fillId="0" borderId="56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2" fontId="9" fillId="2" borderId="51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1" fontId="9" fillId="2" borderId="38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center" vertical="center" wrapText="1"/>
    </xf>
    <xf numFmtId="0" fontId="9" fillId="2" borderId="59" xfId="0" applyNumberFormat="1" applyFont="1" applyFill="1" applyBorder="1" applyAlignment="1">
      <alignment horizontal="center" vertical="center" wrapText="1"/>
    </xf>
    <xf numFmtId="2" fontId="9" fillId="2" borderId="57" xfId="0" applyNumberFormat="1" applyFont="1" applyFill="1" applyBorder="1" applyAlignment="1">
      <alignment horizontal="center" vertical="center" wrapText="1"/>
    </xf>
    <xf numFmtId="1" fontId="9" fillId="2" borderId="5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7" sqref="C77"/>
    </sheetView>
  </sheetViews>
  <sheetFormatPr defaultColWidth="9.00390625" defaultRowHeight="12.75"/>
  <cols>
    <col min="1" max="1" width="11.625" style="1" customWidth="1"/>
    <col min="2" max="2" width="11.375" style="1" customWidth="1"/>
    <col min="3" max="4" width="10.125" style="1" customWidth="1"/>
    <col min="5" max="5" width="9.625" style="1" customWidth="1"/>
    <col min="6" max="6" width="11.00390625" style="1" customWidth="1"/>
    <col min="7" max="7" width="11.625" style="1" customWidth="1"/>
    <col min="8" max="8" width="9.125" style="1" customWidth="1"/>
    <col min="9" max="9" width="9.625" style="1" customWidth="1"/>
    <col min="10" max="10" width="9.25390625" style="1" customWidth="1"/>
    <col min="11" max="11" width="9.125" style="1" customWidth="1"/>
    <col min="12" max="12" width="8.75390625" style="1" customWidth="1"/>
    <col min="13" max="13" width="11.625" style="1" customWidth="1"/>
    <col min="14" max="14" width="9.375" style="1" customWidth="1"/>
    <col min="15" max="15" width="8.75390625" style="1" customWidth="1"/>
    <col min="16" max="16" width="10.00390625" style="1" customWidth="1"/>
    <col min="17" max="17" width="8.75390625" style="1" customWidth="1"/>
    <col min="18" max="18" width="9.625" style="1" customWidth="1"/>
    <col min="19" max="19" width="11.625" style="1" customWidth="1"/>
    <col min="20" max="16384" width="8.75390625" style="1" customWidth="1"/>
  </cols>
  <sheetData>
    <row r="1" ht="15.75">
      <c r="F1" s="1" t="s">
        <v>0</v>
      </c>
    </row>
    <row r="2" spans="5:8" ht="15.75">
      <c r="E2" s="29" t="s">
        <v>1</v>
      </c>
      <c r="F2" s="29"/>
      <c r="G2" s="29"/>
      <c r="H2" s="29"/>
    </row>
    <row r="3" ht="18.75" customHeight="1" thickBot="1">
      <c r="S3" s="8" t="s">
        <v>2</v>
      </c>
    </row>
    <row r="4" spans="1:19" ht="15.75">
      <c r="A4" s="16" t="s">
        <v>3</v>
      </c>
      <c r="B4" s="2">
        <v>2110</v>
      </c>
      <c r="C4" s="2">
        <v>2120</v>
      </c>
      <c r="D4" s="2">
        <v>2210</v>
      </c>
      <c r="E4" s="2">
        <v>2220</v>
      </c>
      <c r="F4" s="2">
        <v>2230</v>
      </c>
      <c r="G4" s="2">
        <v>2240</v>
      </c>
      <c r="H4" s="2">
        <v>2250</v>
      </c>
      <c r="I4" s="2">
        <v>2271</v>
      </c>
      <c r="J4" s="2">
        <v>2272</v>
      </c>
      <c r="K4" s="2">
        <v>2273</v>
      </c>
      <c r="L4" s="2">
        <v>2274</v>
      </c>
      <c r="M4" s="2">
        <v>2282</v>
      </c>
      <c r="N4" s="2">
        <v>2730</v>
      </c>
      <c r="O4" s="2">
        <v>2800</v>
      </c>
      <c r="P4" s="2">
        <v>3110</v>
      </c>
      <c r="Q4" s="2">
        <v>3132</v>
      </c>
      <c r="R4" s="2">
        <v>3142</v>
      </c>
      <c r="S4" s="15" t="s">
        <v>4</v>
      </c>
    </row>
    <row r="5" spans="1:19" s="13" customFormat="1" ht="79.5" customHeight="1" thickBot="1">
      <c r="A5" s="10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35</v>
      </c>
      <c r="M5" s="14" t="s">
        <v>36</v>
      </c>
      <c r="N5" s="14" t="s">
        <v>15</v>
      </c>
      <c r="O5" s="11" t="s">
        <v>37</v>
      </c>
      <c r="P5" s="14" t="s">
        <v>16</v>
      </c>
      <c r="Q5" s="11" t="s">
        <v>17</v>
      </c>
      <c r="R5" s="14" t="s">
        <v>18</v>
      </c>
      <c r="S5" s="12"/>
    </row>
    <row r="6" spans="1:19" ht="15.75">
      <c r="A6" s="17" t="s">
        <v>19</v>
      </c>
      <c r="B6" s="25">
        <v>1648.4390000000003</v>
      </c>
      <c r="C6" s="25">
        <v>598.383</v>
      </c>
      <c r="D6" s="25">
        <v>0.603</v>
      </c>
      <c r="E6" s="25">
        <v>0.335</v>
      </c>
      <c r="F6" s="25">
        <v>396.378</v>
      </c>
      <c r="G6" s="25">
        <v>44.425</v>
      </c>
      <c r="H6" s="4">
        <v>0</v>
      </c>
      <c r="I6" s="25">
        <v>643.701</v>
      </c>
      <c r="J6" s="25">
        <v>28.463</v>
      </c>
      <c r="K6" s="25">
        <v>144.138</v>
      </c>
      <c r="L6" s="4">
        <v>0</v>
      </c>
      <c r="M6" s="4">
        <v>0</v>
      </c>
      <c r="N6" s="4">
        <v>0</v>
      </c>
      <c r="O6" s="4">
        <v>3.908</v>
      </c>
      <c r="P6" s="4">
        <v>0</v>
      </c>
      <c r="Q6" s="4">
        <v>0</v>
      </c>
      <c r="R6" s="4">
        <v>0</v>
      </c>
      <c r="S6" s="23">
        <v>3508.773</v>
      </c>
    </row>
    <row r="7" spans="1:19" ht="15.75">
      <c r="A7" s="3">
        <v>16</v>
      </c>
      <c r="B7" s="25">
        <v>1100.964</v>
      </c>
      <c r="C7" s="25">
        <v>399.65</v>
      </c>
      <c r="D7" s="25">
        <v>19.798000000000002</v>
      </c>
      <c r="E7" s="25">
        <v>0.568</v>
      </c>
      <c r="F7" s="25">
        <v>327.875</v>
      </c>
      <c r="G7" s="25">
        <v>67.899</v>
      </c>
      <c r="H7" s="4">
        <v>0</v>
      </c>
      <c r="I7" s="25">
        <v>191.33</v>
      </c>
      <c r="J7" s="25">
        <v>22.273999999999997</v>
      </c>
      <c r="K7" s="25">
        <v>150.743</v>
      </c>
      <c r="L7" s="4">
        <v>0</v>
      </c>
      <c r="M7" s="4">
        <v>0</v>
      </c>
      <c r="N7" s="4">
        <v>0</v>
      </c>
      <c r="O7" s="4">
        <v>4.647</v>
      </c>
      <c r="P7" s="4">
        <v>0</v>
      </c>
      <c r="Q7" s="4">
        <v>0</v>
      </c>
      <c r="R7" s="4">
        <v>0</v>
      </c>
      <c r="S7" s="23">
        <v>2285.7479999999996</v>
      </c>
    </row>
    <row r="8" spans="1:19" ht="15.75">
      <c r="A8" s="3">
        <v>17</v>
      </c>
      <c r="B8" s="25">
        <v>941.761</v>
      </c>
      <c r="C8" s="25">
        <v>341.85900000000004</v>
      </c>
      <c r="D8" s="25">
        <v>38.954</v>
      </c>
      <c r="E8" s="25">
        <v>0.547</v>
      </c>
      <c r="F8" s="25">
        <v>269.40099999999995</v>
      </c>
      <c r="G8" s="25">
        <v>54.746</v>
      </c>
      <c r="H8" s="4">
        <v>0</v>
      </c>
      <c r="I8" s="25">
        <v>212.60199999999998</v>
      </c>
      <c r="J8" s="25">
        <v>28.871000000000002</v>
      </c>
      <c r="K8" s="25">
        <v>134.65300000000002</v>
      </c>
      <c r="L8" s="4">
        <v>0</v>
      </c>
      <c r="M8" s="4">
        <v>0</v>
      </c>
      <c r="N8" s="4">
        <v>0</v>
      </c>
      <c r="O8" s="4">
        <v>4.748</v>
      </c>
      <c r="P8" s="4">
        <v>0</v>
      </c>
      <c r="Q8" s="4">
        <v>0</v>
      </c>
      <c r="R8" s="4">
        <v>0</v>
      </c>
      <c r="S8" s="23">
        <v>2028.1419999999998</v>
      </c>
    </row>
    <row r="9" spans="1:19" ht="15.75">
      <c r="A9" s="3">
        <v>21</v>
      </c>
      <c r="B9" s="25">
        <v>1625.9070000000002</v>
      </c>
      <c r="C9" s="25">
        <v>590.204</v>
      </c>
      <c r="D9" s="25">
        <v>0.603</v>
      </c>
      <c r="E9" s="25">
        <v>1.086</v>
      </c>
      <c r="F9" s="25">
        <v>679.658</v>
      </c>
      <c r="G9" s="25">
        <v>32.433</v>
      </c>
      <c r="H9" s="4">
        <v>0</v>
      </c>
      <c r="I9" s="25">
        <v>731.762</v>
      </c>
      <c r="J9" s="25">
        <v>41.586999999999996</v>
      </c>
      <c r="K9" s="25">
        <v>162.53300000000002</v>
      </c>
      <c r="L9" s="4">
        <v>0</v>
      </c>
      <c r="M9" s="4">
        <v>0</v>
      </c>
      <c r="N9" s="4">
        <v>0</v>
      </c>
      <c r="O9" s="4">
        <v>4.946</v>
      </c>
      <c r="P9" s="4">
        <v>0</v>
      </c>
      <c r="Q9" s="4">
        <v>0</v>
      </c>
      <c r="R9" s="4">
        <v>0</v>
      </c>
      <c r="S9" s="23">
        <v>3870.7189999999996</v>
      </c>
    </row>
    <row r="10" spans="1:19" ht="15.75">
      <c r="A10" s="3">
        <v>22</v>
      </c>
      <c r="B10" s="25">
        <v>1794.922</v>
      </c>
      <c r="C10" s="25">
        <v>651.557</v>
      </c>
      <c r="D10" s="25">
        <v>0.603</v>
      </c>
      <c r="E10" s="25">
        <v>0.988</v>
      </c>
      <c r="F10" s="25">
        <v>564.59</v>
      </c>
      <c r="G10" s="25">
        <v>28.319</v>
      </c>
      <c r="H10" s="4">
        <v>0</v>
      </c>
      <c r="I10" s="25">
        <v>423.08400000000006</v>
      </c>
      <c r="J10" s="25">
        <v>45.664</v>
      </c>
      <c r="K10" s="25">
        <v>133.733</v>
      </c>
      <c r="L10" s="4">
        <v>0</v>
      </c>
      <c r="M10" s="4">
        <v>0</v>
      </c>
      <c r="N10" s="4">
        <v>0</v>
      </c>
      <c r="O10" s="4">
        <v>6.446</v>
      </c>
      <c r="P10" s="4">
        <v>0</v>
      </c>
      <c r="Q10" s="4">
        <v>0</v>
      </c>
      <c r="R10" s="4">
        <v>0</v>
      </c>
      <c r="S10" s="23">
        <v>3649.906</v>
      </c>
    </row>
    <row r="11" spans="1:19" ht="15.75">
      <c r="A11" s="3">
        <v>45</v>
      </c>
      <c r="B11" s="25">
        <v>427.4829999999999</v>
      </c>
      <c r="C11" s="25">
        <v>155.176</v>
      </c>
      <c r="D11" s="25">
        <v>0.603</v>
      </c>
      <c r="E11" s="25">
        <v>0.168</v>
      </c>
      <c r="F11" s="25">
        <v>85.886</v>
      </c>
      <c r="G11" s="25">
        <v>61.839</v>
      </c>
      <c r="H11" s="4">
        <v>0</v>
      </c>
      <c r="I11" s="25">
        <v>100.236</v>
      </c>
      <c r="J11" s="25">
        <v>8.732</v>
      </c>
      <c r="K11" s="25">
        <v>53.498000000000005</v>
      </c>
      <c r="L11" s="4">
        <v>0</v>
      </c>
      <c r="M11" s="4">
        <v>0</v>
      </c>
      <c r="N11" s="4">
        <v>0</v>
      </c>
      <c r="O11" s="4">
        <v>1.468</v>
      </c>
      <c r="P11" s="4">
        <v>0</v>
      </c>
      <c r="Q11" s="4">
        <v>0</v>
      </c>
      <c r="R11" s="4">
        <v>0</v>
      </c>
      <c r="S11" s="23">
        <v>895.0889999999998</v>
      </c>
    </row>
    <row r="12" spans="1:19" ht="15.75">
      <c r="A12" s="3">
        <v>86</v>
      </c>
      <c r="B12" s="25">
        <v>1611.855</v>
      </c>
      <c r="C12" s="25">
        <v>585.1030000000001</v>
      </c>
      <c r="D12" s="25">
        <v>0.603</v>
      </c>
      <c r="E12" s="25">
        <v>0.748</v>
      </c>
      <c r="F12" s="25">
        <v>441.58</v>
      </c>
      <c r="G12" s="25">
        <v>61.551</v>
      </c>
      <c r="H12" s="4">
        <v>0</v>
      </c>
      <c r="I12" s="25">
        <v>371.616</v>
      </c>
      <c r="J12" s="25">
        <v>47.981</v>
      </c>
      <c r="K12" s="25">
        <v>185.185</v>
      </c>
      <c r="L12" s="4">
        <v>0</v>
      </c>
      <c r="M12" s="4">
        <v>0</v>
      </c>
      <c r="N12" s="4">
        <v>0</v>
      </c>
      <c r="O12" s="4">
        <v>4.921</v>
      </c>
      <c r="P12" s="4">
        <v>0</v>
      </c>
      <c r="Q12" s="4">
        <v>0</v>
      </c>
      <c r="R12" s="4">
        <v>0</v>
      </c>
      <c r="S12" s="23">
        <v>3311.143</v>
      </c>
    </row>
    <row r="13" spans="1:19" ht="15.75">
      <c r="A13" s="3">
        <v>90</v>
      </c>
      <c r="B13" s="25">
        <v>1305.852</v>
      </c>
      <c r="C13" s="25">
        <v>474.024</v>
      </c>
      <c r="D13" s="25">
        <v>0.603</v>
      </c>
      <c r="E13" s="25">
        <v>0.614</v>
      </c>
      <c r="F13" s="25">
        <v>313.11100000000005</v>
      </c>
      <c r="G13" s="25">
        <v>63.43300000000001</v>
      </c>
      <c r="H13" s="4">
        <v>0</v>
      </c>
      <c r="I13" s="25">
        <v>691.4459999999999</v>
      </c>
      <c r="J13" s="25">
        <v>25.661</v>
      </c>
      <c r="K13" s="25">
        <v>125.768</v>
      </c>
      <c r="L13" s="4">
        <v>0</v>
      </c>
      <c r="M13" s="4">
        <v>0</v>
      </c>
      <c r="N13" s="4">
        <v>0</v>
      </c>
      <c r="O13" s="4">
        <v>6.094</v>
      </c>
      <c r="P13" s="4">
        <v>0</v>
      </c>
      <c r="Q13" s="4">
        <v>0</v>
      </c>
      <c r="R13" s="4">
        <v>0</v>
      </c>
      <c r="S13" s="23">
        <v>3006.606</v>
      </c>
    </row>
    <row r="14" spans="1:19" ht="15.75">
      <c r="A14" s="3">
        <v>94</v>
      </c>
      <c r="B14" s="25">
        <v>871.4829999999997</v>
      </c>
      <c r="C14" s="25">
        <v>316.348</v>
      </c>
      <c r="D14" s="25">
        <v>0.603</v>
      </c>
      <c r="E14" s="25">
        <v>0.426</v>
      </c>
      <c r="F14" s="25">
        <v>247.285</v>
      </c>
      <c r="G14" s="25">
        <v>59.185</v>
      </c>
      <c r="H14" s="4">
        <v>0</v>
      </c>
      <c r="I14" s="25">
        <v>283.7</v>
      </c>
      <c r="J14" s="25">
        <v>23.846</v>
      </c>
      <c r="K14" s="25">
        <v>134.704</v>
      </c>
      <c r="L14" s="4">
        <v>0</v>
      </c>
      <c r="M14" s="4">
        <v>0</v>
      </c>
      <c r="N14" s="4">
        <v>0</v>
      </c>
      <c r="O14" s="4">
        <v>2.527</v>
      </c>
      <c r="P14" s="4">
        <v>0</v>
      </c>
      <c r="Q14" s="4">
        <v>0</v>
      </c>
      <c r="R14" s="4">
        <v>0</v>
      </c>
      <c r="S14" s="23">
        <v>1940.1069999999997</v>
      </c>
    </row>
    <row r="15" spans="1:19" ht="15.75">
      <c r="A15" s="3">
        <v>116</v>
      </c>
      <c r="B15" s="25">
        <v>1633.7580000000003</v>
      </c>
      <c r="C15" s="25">
        <v>593.054</v>
      </c>
      <c r="D15" s="25">
        <v>0.603</v>
      </c>
      <c r="E15" s="25">
        <v>0.722</v>
      </c>
      <c r="F15" s="25">
        <v>485.481</v>
      </c>
      <c r="G15" s="25">
        <v>30.646</v>
      </c>
      <c r="H15" s="4">
        <v>0</v>
      </c>
      <c r="I15" s="25">
        <v>681.287</v>
      </c>
      <c r="J15" s="25">
        <v>30.128</v>
      </c>
      <c r="K15" s="25">
        <v>156.821</v>
      </c>
      <c r="L15" s="4">
        <v>0</v>
      </c>
      <c r="M15" s="4">
        <v>0</v>
      </c>
      <c r="N15" s="4">
        <v>0</v>
      </c>
      <c r="O15" s="4">
        <v>5.643</v>
      </c>
      <c r="P15" s="4">
        <v>0</v>
      </c>
      <c r="Q15" s="4">
        <v>0</v>
      </c>
      <c r="R15" s="4">
        <v>0</v>
      </c>
      <c r="S15" s="23">
        <v>3618.143</v>
      </c>
    </row>
    <row r="16" spans="1:19" ht="15.75">
      <c r="A16" s="3">
        <v>206</v>
      </c>
      <c r="B16" s="25">
        <v>1577.8110000000004</v>
      </c>
      <c r="C16" s="25">
        <v>572.745</v>
      </c>
      <c r="D16" s="25">
        <v>0.603</v>
      </c>
      <c r="E16" s="25">
        <v>0.888</v>
      </c>
      <c r="F16" s="25">
        <v>555.4879999999999</v>
      </c>
      <c r="G16" s="25">
        <v>36.532999999999994</v>
      </c>
      <c r="H16" s="4">
        <v>0</v>
      </c>
      <c r="I16" s="25">
        <v>386.03600000000006</v>
      </c>
      <c r="J16" s="25">
        <v>31.811</v>
      </c>
      <c r="K16" s="25">
        <v>124.189</v>
      </c>
      <c r="L16" s="4">
        <v>0</v>
      </c>
      <c r="M16" s="4">
        <v>0</v>
      </c>
      <c r="N16" s="4">
        <v>0</v>
      </c>
      <c r="O16" s="4">
        <v>5.746</v>
      </c>
      <c r="P16" s="4">
        <v>0</v>
      </c>
      <c r="Q16" s="4">
        <v>0</v>
      </c>
      <c r="R16" s="4">
        <v>0</v>
      </c>
      <c r="S16" s="23">
        <v>3291.85</v>
      </c>
    </row>
    <row r="17" spans="1:19" ht="15.75">
      <c r="A17" s="3">
        <v>267</v>
      </c>
      <c r="B17" s="25">
        <v>1115.857</v>
      </c>
      <c r="C17" s="25">
        <v>405.056</v>
      </c>
      <c r="D17" s="25">
        <v>0.603</v>
      </c>
      <c r="E17" s="25">
        <v>0.586</v>
      </c>
      <c r="F17" s="25">
        <v>295.938</v>
      </c>
      <c r="G17" s="25">
        <v>61.117000000000004</v>
      </c>
      <c r="H17" s="4">
        <v>0</v>
      </c>
      <c r="I17" s="25">
        <v>627.505</v>
      </c>
      <c r="J17" s="25">
        <v>28.83</v>
      </c>
      <c r="K17" s="25">
        <v>83.721</v>
      </c>
      <c r="L17" s="4">
        <v>0</v>
      </c>
      <c r="M17" s="4">
        <v>0</v>
      </c>
      <c r="N17" s="4">
        <v>0</v>
      </c>
      <c r="O17" s="4">
        <v>6.311</v>
      </c>
      <c r="P17" s="4">
        <v>0</v>
      </c>
      <c r="Q17" s="4">
        <v>0</v>
      </c>
      <c r="R17" s="4">
        <v>0</v>
      </c>
      <c r="S17" s="23">
        <v>2625.5240000000003</v>
      </c>
    </row>
    <row r="18" spans="1:19" ht="15.75">
      <c r="A18" s="3">
        <v>269</v>
      </c>
      <c r="B18" s="25">
        <v>1156.555</v>
      </c>
      <c r="C18" s="25">
        <v>419.829</v>
      </c>
      <c r="D18" s="25">
        <v>0.603</v>
      </c>
      <c r="E18" s="25">
        <v>0.542</v>
      </c>
      <c r="F18" s="25">
        <v>271.82</v>
      </c>
      <c r="G18" s="25">
        <v>59.69800000000001</v>
      </c>
      <c r="H18" s="4">
        <v>0</v>
      </c>
      <c r="I18" s="25">
        <v>279.616</v>
      </c>
      <c r="J18" s="25">
        <v>28.406000000000002</v>
      </c>
      <c r="K18" s="25">
        <v>102.715</v>
      </c>
      <c r="L18" s="4">
        <v>0</v>
      </c>
      <c r="M18" s="4">
        <v>0</v>
      </c>
      <c r="N18" s="4">
        <v>0</v>
      </c>
      <c r="O18" s="4">
        <v>5.255</v>
      </c>
      <c r="P18" s="4">
        <v>0</v>
      </c>
      <c r="Q18" s="4">
        <v>0</v>
      </c>
      <c r="R18" s="4">
        <v>0</v>
      </c>
      <c r="S18" s="23">
        <v>2325.0389999999998</v>
      </c>
    </row>
    <row r="19" spans="1:19" ht="15.75">
      <c r="A19" s="3">
        <v>278</v>
      </c>
      <c r="B19" s="25">
        <v>1315.2539999999997</v>
      </c>
      <c r="C19" s="25">
        <v>477.437</v>
      </c>
      <c r="D19" s="25">
        <v>29.953000000000003</v>
      </c>
      <c r="E19" s="25">
        <v>0.581</v>
      </c>
      <c r="F19" s="25">
        <v>378.38100000000003</v>
      </c>
      <c r="G19" s="25">
        <v>54.623999999999995</v>
      </c>
      <c r="H19" s="4">
        <v>0</v>
      </c>
      <c r="I19" s="25">
        <v>1021.5840000000001</v>
      </c>
      <c r="J19" s="25">
        <v>26.689</v>
      </c>
      <c r="K19" s="25">
        <v>158.67600000000002</v>
      </c>
      <c r="L19" s="4">
        <v>0</v>
      </c>
      <c r="M19" s="4">
        <v>0</v>
      </c>
      <c r="N19" s="4">
        <v>0</v>
      </c>
      <c r="O19" s="4">
        <v>6.094</v>
      </c>
      <c r="P19" s="4">
        <v>0</v>
      </c>
      <c r="Q19" s="4">
        <v>0</v>
      </c>
      <c r="R19" s="4">
        <v>0</v>
      </c>
      <c r="S19" s="23">
        <v>3469.2729999999997</v>
      </c>
    </row>
    <row r="20" spans="1:19" ht="15.75">
      <c r="A20" s="3">
        <v>317</v>
      </c>
      <c r="B20" s="25">
        <v>890.693</v>
      </c>
      <c r="C20" s="25">
        <v>323.322</v>
      </c>
      <c r="D20" s="25">
        <v>0.603</v>
      </c>
      <c r="E20" s="25">
        <v>0.452</v>
      </c>
      <c r="F20" s="25">
        <v>240.04</v>
      </c>
      <c r="G20" s="25">
        <v>61.136</v>
      </c>
      <c r="H20" s="4">
        <v>0</v>
      </c>
      <c r="I20" s="25">
        <v>403.84</v>
      </c>
      <c r="J20" s="25">
        <v>22.491</v>
      </c>
      <c r="K20" s="25">
        <v>115.659</v>
      </c>
      <c r="L20" s="4">
        <v>0</v>
      </c>
      <c r="M20" s="4">
        <v>0</v>
      </c>
      <c r="N20" s="4">
        <v>0</v>
      </c>
      <c r="O20" s="4">
        <v>2.648</v>
      </c>
      <c r="P20" s="4">
        <v>0</v>
      </c>
      <c r="Q20" s="4">
        <v>0</v>
      </c>
      <c r="R20" s="4">
        <v>0</v>
      </c>
      <c r="S20" s="23">
        <v>2060.884</v>
      </c>
    </row>
    <row r="21" spans="1:19" ht="15.75">
      <c r="A21" s="3">
        <v>323</v>
      </c>
      <c r="B21" s="25">
        <v>1946.055</v>
      </c>
      <c r="C21" s="25">
        <v>706.418</v>
      </c>
      <c r="D21" s="25">
        <v>15.603</v>
      </c>
      <c r="E21" s="25">
        <v>0.882</v>
      </c>
      <c r="F21" s="25">
        <v>603.5060000000001</v>
      </c>
      <c r="G21" s="25">
        <v>30.450999999999993</v>
      </c>
      <c r="H21" s="4">
        <v>0</v>
      </c>
      <c r="I21" s="25">
        <v>1075.4809999999998</v>
      </c>
      <c r="J21" s="25">
        <v>39.05200000000001</v>
      </c>
      <c r="K21" s="25">
        <v>137.951</v>
      </c>
      <c r="L21" s="4">
        <v>0</v>
      </c>
      <c r="M21" s="4">
        <v>0</v>
      </c>
      <c r="N21" s="4">
        <v>0</v>
      </c>
      <c r="O21" s="4">
        <v>3.291</v>
      </c>
      <c r="P21" s="4">
        <v>0</v>
      </c>
      <c r="Q21" s="4">
        <v>0</v>
      </c>
      <c r="R21" s="4">
        <v>0</v>
      </c>
      <c r="S21" s="23">
        <v>4558.69</v>
      </c>
    </row>
    <row r="22" spans="1:19" ht="15.75">
      <c r="A22" s="3">
        <v>334</v>
      </c>
      <c r="B22" s="25">
        <v>1414.9429999999998</v>
      </c>
      <c r="C22" s="25">
        <v>513.624</v>
      </c>
      <c r="D22" s="25">
        <v>5.603</v>
      </c>
      <c r="E22" s="25">
        <v>0.717</v>
      </c>
      <c r="F22" s="25">
        <v>518.423</v>
      </c>
      <c r="G22" s="25">
        <v>59.303</v>
      </c>
      <c r="H22" s="4">
        <v>0</v>
      </c>
      <c r="I22" s="25">
        <v>623.623</v>
      </c>
      <c r="J22" s="25">
        <v>32.854</v>
      </c>
      <c r="K22" s="25">
        <v>181.491</v>
      </c>
      <c r="L22" s="4">
        <v>0</v>
      </c>
      <c r="M22" s="4">
        <v>0</v>
      </c>
      <c r="N22" s="4">
        <v>0</v>
      </c>
      <c r="O22" s="4">
        <v>3.466</v>
      </c>
      <c r="P22" s="4">
        <v>0</v>
      </c>
      <c r="Q22" s="4">
        <v>0</v>
      </c>
      <c r="R22" s="4">
        <v>0</v>
      </c>
      <c r="S22" s="23">
        <v>3354.0469999999996</v>
      </c>
    </row>
    <row r="23" spans="1:19" ht="15.75">
      <c r="A23" s="3">
        <v>348</v>
      </c>
      <c r="B23" s="25">
        <v>1761.3429999999998</v>
      </c>
      <c r="C23" s="25">
        <v>639.3679999999999</v>
      </c>
      <c r="D23" s="25">
        <v>5.603</v>
      </c>
      <c r="E23" s="25">
        <v>1.109</v>
      </c>
      <c r="F23" s="25">
        <v>675.769</v>
      </c>
      <c r="G23" s="25">
        <v>61.1</v>
      </c>
      <c r="H23" s="4">
        <v>0</v>
      </c>
      <c r="I23" s="25">
        <v>1013.476</v>
      </c>
      <c r="J23" s="25">
        <v>42.791</v>
      </c>
      <c r="K23" s="25">
        <v>176.613</v>
      </c>
      <c r="L23" s="4">
        <v>0</v>
      </c>
      <c r="M23" s="4">
        <v>0</v>
      </c>
      <c r="N23" s="4">
        <v>0</v>
      </c>
      <c r="O23" s="4">
        <v>3.691</v>
      </c>
      <c r="P23" s="4">
        <v>0</v>
      </c>
      <c r="Q23" s="4">
        <v>0</v>
      </c>
      <c r="R23" s="4">
        <v>0</v>
      </c>
      <c r="S23" s="23">
        <v>4380.862999999999</v>
      </c>
    </row>
    <row r="24" spans="1:19" ht="15.75">
      <c r="A24" s="3">
        <v>350</v>
      </c>
      <c r="B24" s="25">
        <v>1374.174</v>
      </c>
      <c r="C24" s="25">
        <v>498.825</v>
      </c>
      <c r="D24" s="25">
        <v>0.603</v>
      </c>
      <c r="E24" s="25">
        <v>0.472</v>
      </c>
      <c r="F24" s="25">
        <v>321.722</v>
      </c>
      <c r="G24" s="25">
        <v>64.643</v>
      </c>
      <c r="H24" s="4">
        <v>0</v>
      </c>
      <c r="I24" s="25">
        <v>311.577</v>
      </c>
      <c r="J24" s="25">
        <v>28.348</v>
      </c>
      <c r="K24" s="25">
        <v>94.76400000000001</v>
      </c>
      <c r="L24" s="4">
        <v>0</v>
      </c>
      <c r="M24" s="4">
        <v>0</v>
      </c>
      <c r="N24" s="4">
        <v>0</v>
      </c>
      <c r="O24" s="4">
        <v>4.171</v>
      </c>
      <c r="P24" s="4">
        <v>0</v>
      </c>
      <c r="Q24" s="4">
        <v>0</v>
      </c>
      <c r="R24" s="4">
        <v>0</v>
      </c>
      <c r="S24" s="23">
        <v>2699.2989999999995</v>
      </c>
    </row>
    <row r="25" spans="1:19" ht="15.75">
      <c r="A25" s="3">
        <v>379</v>
      </c>
      <c r="B25" s="4">
        <v>285.498</v>
      </c>
      <c r="C25" s="4">
        <v>103.63600000000001</v>
      </c>
      <c r="D25" s="4">
        <v>0</v>
      </c>
      <c r="E25" s="4">
        <v>0.181</v>
      </c>
      <c r="F25" s="4">
        <v>29.215</v>
      </c>
      <c r="G25" s="4">
        <v>2.395</v>
      </c>
      <c r="H25" s="4">
        <v>0</v>
      </c>
      <c r="I25" s="4">
        <v>0</v>
      </c>
      <c r="J25" s="25">
        <v>6.08</v>
      </c>
      <c r="K25" s="25">
        <v>48.271</v>
      </c>
      <c r="L25" s="4">
        <v>354.294</v>
      </c>
      <c r="M25" s="4">
        <v>0</v>
      </c>
      <c r="N25" s="4">
        <v>0</v>
      </c>
      <c r="O25" s="4">
        <v>2.721</v>
      </c>
      <c r="P25" s="4">
        <v>0</v>
      </c>
      <c r="Q25" s="4">
        <v>0</v>
      </c>
      <c r="R25" s="4">
        <v>0</v>
      </c>
      <c r="S25" s="23">
        <v>832.2909999999999</v>
      </c>
    </row>
    <row r="26" spans="1:19" ht="15.75">
      <c r="A26" s="3">
        <v>393</v>
      </c>
      <c r="B26" s="25">
        <v>859.771</v>
      </c>
      <c r="C26" s="25">
        <v>312.097</v>
      </c>
      <c r="D26" s="25">
        <v>13.4</v>
      </c>
      <c r="E26" s="25">
        <v>0.423</v>
      </c>
      <c r="F26" s="25">
        <v>286.848</v>
      </c>
      <c r="G26" s="25">
        <v>35.218</v>
      </c>
      <c r="H26" s="4">
        <v>0</v>
      </c>
      <c r="I26" s="25">
        <v>263.591</v>
      </c>
      <c r="J26" s="25">
        <v>17.439</v>
      </c>
      <c r="K26" s="25">
        <v>95.438</v>
      </c>
      <c r="L26" s="4">
        <v>0</v>
      </c>
      <c r="M26" s="4">
        <v>0</v>
      </c>
      <c r="N26" s="4">
        <v>0</v>
      </c>
      <c r="O26" s="4">
        <v>2.659</v>
      </c>
      <c r="P26" s="4">
        <v>0</v>
      </c>
      <c r="Q26" s="4">
        <v>0</v>
      </c>
      <c r="R26" s="4">
        <v>0</v>
      </c>
      <c r="S26" s="23">
        <v>1886.8840000000002</v>
      </c>
    </row>
    <row r="27" spans="1:19" ht="15.75">
      <c r="A27" s="3">
        <v>400</v>
      </c>
      <c r="B27" s="25">
        <v>1384.2380000000003</v>
      </c>
      <c r="C27" s="25">
        <v>502.48</v>
      </c>
      <c r="D27" s="25">
        <v>0.603</v>
      </c>
      <c r="E27" s="25">
        <v>0.74</v>
      </c>
      <c r="F27" s="25">
        <v>417.17199999999997</v>
      </c>
      <c r="G27" s="25">
        <v>62.260999999999996</v>
      </c>
      <c r="H27" s="4">
        <v>0</v>
      </c>
      <c r="I27" s="25">
        <v>367.433</v>
      </c>
      <c r="J27" s="25">
        <v>42.819</v>
      </c>
      <c r="K27" s="25">
        <v>102.9</v>
      </c>
      <c r="L27" s="4">
        <v>0</v>
      </c>
      <c r="M27" s="4">
        <v>0</v>
      </c>
      <c r="N27" s="4">
        <v>0</v>
      </c>
      <c r="O27" s="4">
        <v>5.091</v>
      </c>
      <c r="P27" s="4">
        <v>0</v>
      </c>
      <c r="Q27" s="4">
        <v>0</v>
      </c>
      <c r="R27" s="4">
        <v>0</v>
      </c>
      <c r="S27" s="23">
        <v>2885.737</v>
      </c>
    </row>
    <row r="28" spans="1:19" ht="15.75">
      <c r="A28" s="3">
        <v>401</v>
      </c>
      <c r="B28" s="25">
        <v>1439.663</v>
      </c>
      <c r="C28" s="25">
        <v>522.5980000000001</v>
      </c>
      <c r="D28" s="25">
        <v>0.603</v>
      </c>
      <c r="E28" s="25">
        <v>0.792</v>
      </c>
      <c r="F28" s="25">
        <v>459.781</v>
      </c>
      <c r="G28" s="25">
        <v>61.367</v>
      </c>
      <c r="H28" s="4">
        <v>0</v>
      </c>
      <c r="I28" s="25">
        <v>317.875</v>
      </c>
      <c r="J28" s="25">
        <v>27.874</v>
      </c>
      <c r="K28" s="25">
        <v>94.77799999999999</v>
      </c>
      <c r="L28" s="4">
        <v>0</v>
      </c>
      <c r="M28" s="4">
        <v>0</v>
      </c>
      <c r="N28" s="4">
        <v>0</v>
      </c>
      <c r="O28" s="4">
        <v>4.68</v>
      </c>
      <c r="P28" s="4">
        <v>0</v>
      </c>
      <c r="Q28" s="4">
        <v>0</v>
      </c>
      <c r="R28" s="4">
        <v>0</v>
      </c>
      <c r="S28" s="23">
        <v>2930.011</v>
      </c>
    </row>
    <row r="29" spans="1:19" ht="15.75">
      <c r="A29" s="3">
        <v>402</v>
      </c>
      <c r="B29" s="25">
        <v>1654.08</v>
      </c>
      <c r="C29" s="25">
        <v>600.4309999999999</v>
      </c>
      <c r="D29" s="25">
        <v>0.603</v>
      </c>
      <c r="E29" s="25">
        <v>0.872</v>
      </c>
      <c r="F29" s="25">
        <v>480.12300000000005</v>
      </c>
      <c r="G29" s="25">
        <v>34.903</v>
      </c>
      <c r="H29" s="4">
        <v>0</v>
      </c>
      <c r="I29" s="25">
        <v>301.033</v>
      </c>
      <c r="J29" s="25">
        <v>43.437</v>
      </c>
      <c r="K29" s="25">
        <v>104.986</v>
      </c>
      <c r="L29" s="4">
        <v>0</v>
      </c>
      <c r="M29" s="4">
        <v>0</v>
      </c>
      <c r="N29" s="4">
        <v>0</v>
      </c>
      <c r="O29" s="4">
        <v>5.286</v>
      </c>
      <c r="P29" s="4">
        <v>0</v>
      </c>
      <c r="Q29" s="4">
        <v>0</v>
      </c>
      <c r="R29" s="4">
        <v>0</v>
      </c>
      <c r="S29" s="23">
        <v>3225.754</v>
      </c>
    </row>
    <row r="30" spans="1:19" ht="15.75">
      <c r="A30" s="18" t="s">
        <v>34</v>
      </c>
      <c r="B30" s="25">
        <v>31138.359</v>
      </c>
      <c r="C30" s="25">
        <v>11303.224</v>
      </c>
      <c r="D30" s="25">
        <v>138.562</v>
      </c>
      <c r="E30" s="25">
        <v>15.438999999999998</v>
      </c>
      <c r="F30" s="25">
        <v>9345.471000000001</v>
      </c>
      <c r="G30" s="25">
        <v>1189.225</v>
      </c>
      <c r="H30" s="4">
        <v>0</v>
      </c>
      <c r="I30" s="25">
        <v>11323.434000000001</v>
      </c>
      <c r="J30" s="25">
        <v>722.1279999999998</v>
      </c>
      <c r="K30" s="25">
        <v>3003.928</v>
      </c>
      <c r="L30" s="4">
        <v>354.294</v>
      </c>
      <c r="M30" s="4">
        <v>0</v>
      </c>
      <c r="N30" s="4">
        <v>0</v>
      </c>
      <c r="O30" s="4">
        <v>106.458</v>
      </c>
      <c r="P30" s="4">
        <v>0</v>
      </c>
      <c r="Q30" s="4">
        <v>0</v>
      </c>
      <c r="R30" s="4">
        <v>0</v>
      </c>
      <c r="S30" s="23">
        <v>68640.52199999998</v>
      </c>
    </row>
    <row r="31" spans="1:19" ht="15.75">
      <c r="A31" s="17" t="s">
        <v>20</v>
      </c>
      <c r="B31" s="25">
        <v>89.44</v>
      </c>
      <c r="C31" s="25">
        <v>32.467</v>
      </c>
      <c r="D31" s="25">
        <v>1.842</v>
      </c>
      <c r="E31" s="25">
        <v>0.806</v>
      </c>
      <c r="F31" s="25">
        <v>425.177</v>
      </c>
      <c r="G31" s="25">
        <v>11.908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0.043</v>
      </c>
      <c r="O31" s="4">
        <v>9.097</v>
      </c>
      <c r="P31" s="4">
        <v>0</v>
      </c>
      <c r="Q31" s="4">
        <v>0</v>
      </c>
      <c r="R31" s="4">
        <v>0</v>
      </c>
      <c r="S31" s="23">
        <v>570.78</v>
      </c>
    </row>
    <row r="32" spans="1:19" ht="15.75">
      <c r="A32" s="3">
        <v>18</v>
      </c>
      <c r="B32" s="25">
        <v>42.886</v>
      </c>
      <c r="C32" s="25">
        <v>13.87</v>
      </c>
      <c r="D32" s="25">
        <v>1.438</v>
      </c>
      <c r="E32" s="25">
        <v>0.353</v>
      </c>
      <c r="F32" s="25">
        <v>173.665</v>
      </c>
      <c r="G32" s="25">
        <v>45.787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1.102</v>
      </c>
      <c r="P32" s="4">
        <v>0</v>
      </c>
      <c r="Q32" s="4">
        <v>0</v>
      </c>
      <c r="R32" s="4">
        <v>0</v>
      </c>
      <c r="S32" s="23">
        <v>279.101</v>
      </c>
    </row>
    <row r="33" spans="1:19" ht="15.75">
      <c r="A33" s="3">
        <v>26</v>
      </c>
      <c r="B33" s="25">
        <v>75.639</v>
      </c>
      <c r="C33" s="25">
        <v>29.272</v>
      </c>
      <c r="D33" s="25">
        <v>2.855</v>
      </c>
      <c r="E33" s="25">
        <v>0.669</v>
      </c>
      <c r="F33" s="25">
        <v>336.92</v>
      </c>
      <c r="G33" s="25">
        <v>9.312000000000001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0.043</v>
      </c>
      <c r="O33" s="4">
        <v>4.355</v>
      </c>
      <c r="P33" s="4">
        <v>0</v>
      </c>
      <c r="Q33" s="4">
        <v>0</v>
      </c>
      <c r="R33" s="4">
        <v>0</v>
      </c>
      <c r="S33" s="23">
        <v>459.065</v>
      </c>
    </row>
    <row r="34" spans="1:19" ht="15.75">
      <c r="A34" s="3">
        <v>42</v>
      </c>
      <c r="B34" s="25">
        <v>55.422</v>
      </c>
      <c r="C34" s="25">
        <v>19.598</v>
      </c>
      <c r="D34" s="25">
        <v>2.855</v>
      </c>
      <c r="E34" s="25">
        <v>0.412</v>
      </c>
      <c r="F34" s="25">
        <v>247.06400000000002</v>
      </c>
      <c r="G34" s="25">
        <v>32.832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0.043</v>
      </c>
      <c r="O34" s="4">
        <v>5.898999999999999</v>
      </c>
      <c r="P34" s="4">
        <v>0</v>
      </c>
      <c r="Q34" s="4">
        <v>0</v>
      </c>
      <c r="R34" s="4">
        <v>0</v>
      </c>
      <c r="S34" s="23">
        <v>364.125</v>
      </c>
    </row>
    <row r="35" spans="1:19" ht="15.75">
      <c r="A35" s="3">
        <v>43</v>
      </c>
      <c r="B35" s="25">
        <v>78.523</v>
      </c>
      <c r="C35" s="25">
        <v>28.75</v>
      </c>
      <c r="D35" s="25">
        <v>1.71</v>
      </c>
      <c r="E35" s="25">
        <v>0.579</v>
      </c>
      <c r="F35" s="25">
        <v>277.182</v>
      </c>
      <c r="G35" s="25">
        <v>14.043000000000001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7.98</v>
      </c>
      <c r="O35" s="4">
        <v>6.434</v>
      </c>
      <c r="P35" s="4">
        <v>0</v>
      </c>
      <c r="Q35" s="4">
        <v>0</v>
      </c>
      <c r="R35" s="4">
        <v>0</v>
      </c>
      <c r="S35" s="23">
        <v>415.2010000000001</v>
      </c>
    </row>
    <row r="36" spans="1:19" ht="15.75">
      <c r="A36" s="3">
        <v>44</v>
      </c>
      <c r="B36" s="25">
        <v>79.967</v>
      </c>
      <c r="C36" s="25">
        <v>28.784</v>
      </c>
      <c r="D36" s="25">
        <v>6.396</v>
      </c>
      <c r="E36" s="25">
        <v>0.687</v>
      </c>
      <c r="F36" s="25">
        <v>382.1009999999999</v>
      </c>
      <c r="G36" s="25">
        <v>15.303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0.085</v>
      </c>
      <c r="O36" s="4">
        <v>9.055</v>
      </c>
      <c r="P36" s="4">
        <v>0</v>
      </c>
      <c r="Q36" s="4">
        <v>0</v>
      </c>
      <c r="R36" s="4">
        <v>0</v>
      </c>
      <c r="S36" s="23">
        <v>522.3779999999999</v>
      </c>
    </row>
    <row r="37" spans="1:19" ht="15.75">
      <c r="A37" s="3">
        <v>55</v>
      </c>
      <c r="B37" s="25">
        <v>69.356</v>
      </c>
      <c r="C37" s="25">
        <v>25.93</v>
      </c>
      <c r="D37" s="25">
        <v>1.856</v>
      </c>
      <c r="E37" s="25">
        <v>0.571</v>
      </c>
      <c r="F37" s="25">
        <v>279.23199999999997</v>
      </c>
      <c r="G37" s="25">
        <v>13.901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15.591</v>
      </c>
      <c r="P37" s="4">
        <v>0</v>
      </c>
      <c r="Q37" s="4">
        <v>0</v>
      </c>
      <c r="R37" s="4">
        <v>0</v>
      </c>
      <c r="S37" s="23">
        <v>406.437</v>
      </c>
    </row>
    <row r="38" spans="1:19" ht="15.75">
      <c r="A38" s="3">
        <v>56</v>
      </c>
      <c r="B38" s="25">
        <v>47.544</v>
      </c>
      <c r="C38" s="25">
        <v>18.242</v>
      </c>
      <c r="D38" s="25">
        <v>9.064</v>
      </c>
      <c r="E38" s="25">
        <v>0.36</v>
      </c>
      <c r="F38" s="25">
        <v>216.685</v>
      </c>
      <c r="G38" s="25">
        <v>26.486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0.085</v>
      </c>
      <c r="O38" s="4">
        <v>4.645</v>
      </c>
      <c r="P38" s="4">
        <v>0</v>
      </c>
      <c r="Q38" s="4">
        <v>0</v>
      </c>
      <c r="R38" s="4">
        <v>0</v>
      </c>
      <c r="S38" s="23">
        <v>323.11099999999993</v>
      </c>
    </row>
    <row r="39" spans="1:19" ht="15.75">
      <c r="A39" s="3">
        <v>57</v>
      </c>
      <c r="B39" s="25">
        <v>132.753</v>
      </c>
      <c r="C39" s="25">
        <v>48.265</v>
      </c>
      <c r="D39" s="25">
        <v>3.854</v>
      </c>
      <c r="E39" s="25">
        <v>1.133</v>
      </c>
      <c r="F39" s="25">
        <v>543.769</v>
      </c>
      <c r="G39" s="25">
        <v>15.325999999999999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0.085</v>
      </c>
      <c r="O39" s="4">
        <v>9.687</v>
      </c>
      <c r="P39" s="4">
        <v>0</v>
      </c>
      <c r="Q39" s="4">
        <v>0</v>
      </c>
      <c r="R39" s="4">
        <v>0</v>
      </c>
      <c r="S39" s="23">
        <v>754.872</v>
      </c>
    </row>
    <row r="40" spans="1:19" ht="15.75">
      <c r="A40" s="3">
        <v>64</v>
      </c>
      <c r="B40" s="25">
        <v>50.688</v>
      </c>
      <c r="C40" s="25">
        <v>18.415</v>
      </c>
      <c r="D40" s="25">
        <v>14.186</v>
      </c>
      <c r="E40" s="25">
        <v>0.447</v>
      </c>
      <c r="F40" s="25">
        <v>258.838</v>
      </c>
      <c r="G40" s="25">
        <v>24.406000000000002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0.085</v>
      </c>
      <c r="O40" s="4">
        <v>2.658</v>
      </c>
      <c r="P40" s="4">
        <v>0</v>
      </c>
      <c r="Q40" s="4">
        <v>0</v>
      </c>
      <c r="R40" s="4">
        <v>0</v>
      </c>
      <c r="S40" s="23">
        <v>369.723</v>
      </c>
    </row>
    <row r="41" spans="1:19" ht="15.75">
      <c r="A41" s="3">
        <v>68</v>
      </c>
      <c r="B41" s="25">
        <v>39.052</v>
      </c>
      <c r="C41" s="25">
        <v>14.639</v>
      </c>
      <c r="D41" s="25">
        <v>0.73</v>
      </c>
      <c r="E41" s="25">
        <v>0.285</v>
      </c>
      <c r="F41" s="25">
        <v>166.034</v>
      </c>
      <c r="G41" s="25">
        <v>12.14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0.042</v>
      </c>
      <c r="O41" s="4">
        <v>3.993</v>
      </c>
      <c r="P41" s="4">
        <v>0</v>
      </c>
      <c r="Q41" s="4">
        <v>0</v>
      </c>
      <c r="R41" s="4">
        <v>0</v>
      </c>
      <c r="S41" s="23">
        <v>236.915</v>
      </c>
    </row>
    <row r="42" spans="1:19" ht="15.75">
      <c r="A42" s="3">
        <v>86</v>
      </c>
      <c r="B42" s="25">
        <v>66.41</v>
      </c>
      <c r="C42" s="25">
        <v>24.504</v>
      </c>
      <c r="D42" s="25">
        <v>3.563</v>
      </c>
      <c r="E42" s="25">
        <v>0.53</v>
      </c>
      <c r="F42" s="25">
        <v>290.358</v>
      </c>
      <c r="G42" s="25">
        <v>50.971000000000004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7.731</v>
      </c>
      <c r="P42" s="4">
        <v>0</v>
      </c>
      <c r="Q42" s="4">
        <v>0</v>
      </c>
      <c r="R42" s="4">
        <v>0</v>
      </c>
      <c r="S42" s="23">
        <v>444.067</v>
      </c>
    </row>
    <row r="43" spans="1:19" ht="15.75">
      <c r="A43" s="3">
        <v>114</v>
      </c>
      <c r="B43" s="25">
        <v>41.924</v>
      </c>
      <c r="C43" s="25">
        <v>14.623</v>
      </c>
      <c r="D43" s="25">
        <v>7.104</v>
      </c>
      <c r="E43" s="25">
        <v>0.315</v>
      </c>
      <c r="F43" s="25">
        <v>166.875</v>
      </c>
      <c r="G43" s="25">
        <v>24.908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0.127</v>
      </c>
      <c r="O43" s="4">
        <v>3.0909999999999993</v>
      </c>
      <c r="P43" s="4">
        <v>0</v>
      </c>
      <c r="Q43" s="4">
        <v>0</v>
      </c>
      <c r="R43" s="4">
        <v>0</v>
      </c>
      <c r="S43" s="23">
        <v>258.967</v>
      </c>
    </row>
    <row r="44" spans="1:19" ht="15.75">
      <c r="A44" s="3">
        <v>115</v>
      </c>
      <c r="B44" s="25">
        <v>78.847</v>
      </c>
      <c r="C44" s="25">
        <v>28.622</v>
      </c>
      <c r="D44" s="25">
        <v>5.106</v>
      </c>
      <c r="E44" s="25">
        <v>0.702</v>
      </c>
      <c r="F44" s="25">
        <v>356.363</v>
      </c>
      <c r="G44" s="25">
        <v>70.02699999999999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0.255</v>
      </c>
      <c r="O44" s="4">
        <v>6.956000000000001</v>
      </c>
      <c r="P44" s="4">
        <v>0</v>
      </c>
      <c r="Q44" s="4">
        <v>0</v>
      </c>
      <c r="R44" s="4">
        <v>0</v>
      </c>
      <c r="S44" s="23">
        <v>546.8779999999999</v>
      </c>
    </row>
    <row r="45" spans="1:19" ht="15.75">
      <c r="A45" s="3">
        <v>116</v>
      </c>
      <c r="B45" s="25">
        <v>41.757</v>
      </c>
      <c r="C45" s="25">
        <v>14.99</v>
      </c>
      <c r="D45" s="25">
        <v>2.438</v>
      </c>
      <c r="E45" s="25">
        <v>0.398</v>
      </c>
      <c r="F45" s="25">
        <v>206.912</v>
      </c>
      <c r="G45" s="25">
        <v>13.72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0.127</v>
      </c>
      <c r="O45" s="4">
        <v>8.534000000000002</v>
      </c>
      <c r="P45" s="4">
        <v>0</v>
      </c>
      <c r="Q45" s="4">
        <v>0</v>
      </c>
      <c r="R45" s="4">
        <v>0</v>
      </c>
      <c r="S45" s="23">
        <v>288.87600000000003</v>
      </c>
    </row>
    <row r="46" spans="1:19" ht="15.75">
      <c r="A46" s="3">
        <v>117</v>
      </c>
      <c r="B46" s="25">
        <v>49.301</v>
      </c>
      <c r="C46" s="25">
        <v>17.631</v>
      </c>
      <c r="D46" s="25">
        <v>0.022</v>
      </c>
      <c r="E46" s="25">
        <v>0.395</v>
      </c>
      <c r="F46" s="25">
        <v>218.32599999999996</v>
      </c>
      <c r="G46" s="25">
        <v>47.916000000000004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3.6479999999999997</v>
      </c>
      <c r="P46" s="4">
        <v>0</v>
      </c>
      <c r="Q46" s="4">
        <v>0</v>
      </c>
      <c r="R46" s="4">
        <v>0</v>
      </c>
      <c r="S46" s="23">
        <v>337.23900000000003</v>
      </c>
    </row>
    <row r="47" spans="1:19" ht="15.75">
      <c r="A47" s="3">
        <v>131</v>
      </c>
      <c r="B47" s="25">
        <v>137.064</v>
      </c>
      <c r="C47" s="25">
        <v>53.397</v>
      </c>
      <c r="D47" s="25">
        <v>1.438</v>
      </c>
      <c r="E47" s="25">
        <v>1.346</v>
      </c>
      <c r="F47" s="25">
        <v>680.1759999999999</v>
      </c>
      <c r="G47" s="25">
        <v>17.43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2.42</v>
      </c>
      <c r="P47" s="4">
        <v>0</v>
      </c>
      <c r="Q47" s="4">
        <v>0</v>
      </c>
      <c r="R47" s="4">
        <v>0</v>
      </c>
      <c r="S47" s="23">
        <v>893.2709999999998</v>
      </c>
    </row>
    <row r="48" spans="1:19" ht="15.75">
      <c r="A48" s="3">
        <v>133</v>
      </c>
      <c r="B48" s="25">
        <v>84.704</v>
      </c>
      <c r="C48" s="25">
        <v>31.353</v>
      </c>
      <c r="D48" s="25">
        <v>5.688</v>
      </c>
      <c r="E48" s="25">
        <v>0.812</v>
      </c>
      <c r="F48" s="25">
        <v>458.381</v>
      </c>
      <c r="G48" s="25">
        <v>12.143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0.042</v>
      </c>
      <c r="O48" s="4">
        <v>1.457</v>
      </c>
      <c r="P48" s="4">
        <v>0</v>
      </c>
      <c r="Q48" s="4">
        <v>0</v>
      </c>
      <c r="R48" s="4">
        <v>0</v>
      </c>
      <c r="S48" s="23">
        <v>594.58</v>
      </c>
    </row>
    <row r="49" spans="1:19" ht="15.75">
      <c r="A49" s="3">
        <v>134</v>
      </c>
      <c r="B49" s="25">
        <v>122.11</v>
      </c>
      <c r="C49" s="25">
        <v>45.427</v>
      </c>
      <c r="D49" s="25">
        <v>3.563</v>
      </c>
      <c r="E49" s="25">
        <v>1.223</v>
      </c>
      <c r="F49" s="25">
        <v>647.0859999999999</v>
      </c>
      <c r="G49" s="25">
        <v>17.621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0.043</v>
      </c>
      <c r="O49" s="4">
        <v>12.583</v>
      </c>
      <c r="P49" s="4">
        <v>0</v>
      </c>
      <c r="Q49" s="4">
        <v>0</v>
      </c>
      <c r="R49" s="4">
        <v>0</v>
      </c>
      <c r="S49" s="23">
        <v>849.6559999999998</v>
      </c>
    </row>
    <row r="50" spans="1:19" ht="15.75">
      <c r="A50" s="3">
        <v>142</v>
      </c>
      <c r="B50" s="25">
        <v>132.932</v>
      </c>
      <c r="C50" s="25">
        <v>51.829</v>
      </c>
      <c r="D50" s="25">
        <v>2.855</v>
      </c>
      <c r="E50" s="25">
        <v>3.545</v>
      </c>
      <c r="F50" s="25">
        <v>687.9760000000001</v>
      </c>
      <c r="G50" s="25">
        <v>68.176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0.043</v>
      </c>
      <c r="O50" s="4">
        <v>8.18</v>
      </c>
      <c r="P50" s="4">
        <v>0</v>
      </c>
      <c r="Q50" s="4">
        <v>0</v>
      </c>
      <c r="R50" s="4">
        <v>0</v>
      </c>
      <c r="S50" s="23">
        <v>955.5360000000001</v>
      </c>
    </row>
    <row r="51" spans="1:19" ht="15.75">
      <c r="A51" s="17" t="s">
        <v>21</v>
      </c>
      <c r="B51" s="25">
        <v>48.607</v>
      </c>
      <c r="C51" s="25">
        <v>17.644</v>
      </c>
      <c r="D51" s="25">
        <v>0.013</v>
      </c>
      <c r="E51" s="25">
        <v>0.26</v>
      </c>
      <c r="F51" s="25">
        <v>23.715999999999998</v>
      </c>
      <c r="G51" s="25">
        <v>45.932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6.163</v>
      </c>
      <c r="P51" s="4">
        <v>0</v>
      </c>
      <c r="Q51" s="4">
        <v>0</v>
      </c>
      <c r="R51" s="4">
        <v>0</v>
      </c>
      <c r="S51" s="23">
        <v>142.335</v>
      </c>
    </row>
    <row r="52" spans="1:19" ht="15.75">
      <c r="A52" s="18" t="s">
        <v>38</v>
      </c>
      <c r="B52" s="25">
        <v>1564.9259999999997</v>
      </c>
      <c r="C52" s="25">
        <v>578.2520000000001</v>
      </c>
      <c r="D52" s="25">
        <v>78.57600000000002</v>
      </c>
      <c r="E52" s="25">
        <v>15.828000000000001</v>
      </c>
      <c r="F52" s="25">
        <v>7042.836000000003</v>
      </c>
      <c r="G52" s="25">
        <v>590.2880000000001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9.128000000000004</v>
      </c>
      <c r="O52" s="4">
        <v>133.279</v>
      </c>
      <c r="P52" s="4">
        <v>0</v>
      </c>
      <c r="Q52" s="4">
        <v>0</v>
      </c>
      <c r="R52" s="4">
        <v>0</v>
      </c>
      <c r="S52" s="23">
        <v>10013.113</v>
      </c>
    </row>
    <row r="53" spans="1:19" ht="15.75">
      <c r="A53" s="17" t="s">
        <v>22</v>
      </c>
      <c r="B53" s="25">
        <v>1131.875</v>
      </c>
      <c r="C53" s="25">
        <v>410.8709999999999</v>
      </c>
      <c r="D53" s="25">
        <v>9.97</v>
      </c>
      <c r="E53" s="4">
        <v>0</v>
      </c>
      <c r="F53" s="4">
        <v>0</v>
      </c>
      <c r="G53" s="25">
        <v>64.519</v>
      </c>
      <c r="H53" s="4">
        <v>0</v>
      </c>
      <c r="I53" s="4">
        <v>473.27900000000005</v>
      </c>
      <c r="J53" s="4">
        <v>2.073</v>
      </c>
      <c r="K53" s="4">
        <v>22.455</v>
      </c>
      <c r="L53" s="4">
        <v>0</v>
      </c>
      <c r="M53" s="4">
        <v>0</v>
      </c>
      <c r="N53" s="4">
        <v>7.152</v>
      </c>
      <c r="O53" s="4">
        <v>3.649</v>
      </c>
      <c r="P53" s="4">
        <v>0</v>
      </c>
      <c r="Q53" s="4">
        <v>0</v>
      </c>
      <c r="R53" s="4">
        <v>0</v>
      </c>
      <c r="S53" s="23">
        <v>2125.843</v>
      </c>
    </row>
    <row r="54" spans="1:19" ht="15.75">
      <c r="A54" s="17" t="s">
        <v>23</v>
      </c>
      <c r="B54" s="25">
        <v>652.767</v>
      </c>
      <c r="C54" s="25">
        <v>236.954</v>
      </c>
      <c r="D54" s="25">
        <v>1.1280000000000001</v>
      </c>
      <c r="E54" s="4">
        <v>0</v>
      </c>
      <c r="F54" s="4">
        <v>0</v>
      </c>
      <c r="G54" s="25">
        <v>55.935</v>
      </c>
      <c r="H54" s="4">
        <v>0</v>
      </c>
      <c r="I54" s="4">
        <v>0</v>
      </c>
      <c r="J54" s="4">
        <v>0.645</v>
      </c>
      <c r="K54" s="4">
        <v>26.945</v>
      </c>
      <c r="L54" s="4">
        <v>201.891</v>
      </c>
      <c r="M54" s="4">
        <v>0</v>
      </c>
      <c r="N54" s="4">
        <v>0</v>
      </c>
      <c r="O54" s="4">
        <v>0.8480000000000002</v>
      </c>
      <c r="P54" s="4">
        <v>0</v>
      </c>
      <c r="Q54" s="4">
        <v>0</v>
      </c>
      <c r="R54" s="4">
        <v>0</v>
      </c>
      <c r="S54" s="23">
        <v>1177.1129999999998</v>
      </c>
    </row>
    <row r="55" spans="1:19" ht="15.75">
      <c r="A55" s="3" t="s">
        <v>24</v>
      </c>
      <c r="B55" s="25">
        <v>1784.6420000000003</v>
      </c>
      <c r="C55" s="25">
        <v>647.825</v>
      </c>
      <c r="D55" s="25">
        <v>11.097999999999999</v>
      </c>
      <c r="E55" s="4">
        <v>0</v>
      </c>
      <c r="F55" s="4">
        <v>0</v>
      </c>
      <c r="G55" s="25">
        <v>120.45400000000001</v>
      </c>
      <c r="H55" s="4">
        <v>0</v>
      </c>
      <c r="I55" s="4">
        <v>473.27900000000005</v>
      </c>
      <c r="J55" s="4">
        <v>2.718</v>
      </c>
      <c r="K55" s="25">
        <v>49.4</v>
      </c>
      <c r="L55" s="4">
        <v>201.891</v>
      </c>
      <c r="M55" s="4">
        <v>0</v>
      </c>
      <c r="N55" s="4">
        <v>7.152</v>
      </c>
      <c r="O55" s="4">
        <v>4.497</v>
      </c>
      <c r="P55" s="4">
        <v>0</v>
      </c>
      <c r="Q55" s="4">
        <v>0</v>
      </c>
      <c r="R55" s="4">
        <v>0</v>
      </c>
      <c r="S55" s="23">
        <v>3302.9559999999997</v>
      </c>
    </row>
    <row r="56" spans="1:19" ht="15.75">
      <c r="A56" s="17" t="s">
        <v>25</v>
      </c>
      <c r="B56" s="25">
        <v>89.25400000000005</v>
      </c>
      <c r="C56" s="25">
        <v>32.399</v>
      </c>
      <c r="D56" s="25">
        <v>2.142</v>
      </c>
      <c r="E56" s="4">
        <v>0</v>
      </c>
      <c r="F56" s="4">
        <v>0</v>
      </c>
      <c r="G56" s="25">
        <v>3.04</v>
      </c>
      <c r="H56" s="4">
        <v>0</v>
      </c>
      <c r="I56" s="4">
        <v>4.825</v>
      </c>
      <c r="J56" s="25">
        <v>0.35</v>
      </c>
      <c r="K56" s="4">
        <v>2.122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23">
        <v>134.13200000000006</v>
      </c>
    </row>
    <row r="57" spans="1:19" ht="15.75">
      <c r="A57" s="17" t="s">
        <v>26</v>
      </c>
      <c r="B57" s="25">
        <v>51.26699999999999</v>
      </c>
      <c r="C57" s="25">
        <v>18.61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23">
        <v>69.87699999999998</v>
      </c>
    </row>
    <row r="58" spans="1:19" ht="15.75">
      <c r="A58" s="3">
        <v>142</v>
      </c>
      <c r="B58" s="25">
        <v>51.266999999999996</v>
      </c>
      <c r="C58" s="25">
        <v>18.61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23">
        <v>69.877</v>
      </c>
    </row>
    <row r="59" spans="1:19" ht="15.75">
      <c r="A59" s="17" t="s">
        <v>27</v>
      </c>
      <c r="B59" s="25">
        <v>81.60900000000001</v>
      </c>
      <c r="C59" s="25">
        <v>29.624000000000002</v>
      </c>
      <c r="D59" s="25">
        <v>2.142</v>
      </c>
      <c r="E59" s="4">
        <v>0</v>
      </c>
      <c r="F59" s="4">
        <v>0</v>
      </c>
      <c r="G59" s="25">
        <v>3.14</v>
      </c>
      <c r="H59" s="4">
        <v>0</v>
      </c>
      <c r="I59" s="4">
        <v>4.853</v>
      </c>
      <c r="J59" s="4">
        <v>0.35700000000000004</v>
      </c>
      <c r="K59" s="4">
        <v>2.124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23">
        <v>123.849</v>
      </c>
    </row>
    <row r="60" spans="1:19" ht="15.75">
      <c r="A60" s="18" t="s">
        <v>28</v>
      </c>
      <c r="B60" s="25">
        <v>273.39700000000005</v>
      </c>
      <c r="C60" s="25">
        <v>99.243</v>
      </c>
      <c r="D60" s="25">
        <v>4.284</v>
      </c>
      <c r="E60" s="4">
        <v>0</v>
      </c>
      <c r="F60" s="4">
        <v>0</v>
      </c>
      <c r="G60" s="25">
        <v>6.18</v>
      </c>
      <c r="H60" s="4">
        <v>0</v>
      </c>
      <c r="I60" s="4">
        <v>9.677999999999999</v>
      </c>
      <c r="J60" s="4">
        <v>0.7070000000000001</v>
      </c>
      <c r="K60" s="4">
        <v>4.246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23">
        <v>397.735</v>
      </c>
    </row>
    <row r="61" spans="1:19" ht="15.75">
      <c r="A61" s="17" t="s">
        <v>29</v>
      </c>
      <c r="B61" s="25">
        <v>1077.969</v>
      </c>
      <c r="C61" s="25">
        <v>391.303</v>
      </c>
      <c r="D61" s="25">
        <v>26.948</v>
      </c>
      <c r="E61" s="4">
        <v>0</v>
      </c>
      <c r="F61" s="4">
        <v>0</v>
      </c>
      <c r="G61" s="4">
        <v>81.94300000000001</v>
      </c>
      <c r="H61" s="25">
        <v>0.44</v>
      </c>
      <c r="I61" s="4">
        <v>42.507000000000005</v>
      </c>
      <c r="J61" s="4">
        <v>3.806</v>
      </c>
      <c r="K61" s="4">
        <v>19.489</v>
      </c>
      <c r="L61" s="4">
        <v>0</v>
      </c>
      <c r="M61" s="4">
        <v>2.042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23">
        <v>1646.447</v>
      </c>
    </row>
    <row r="62" spans="1:19" ht="15.75">
      <c r="A62" s="17" t="s">
        <v>30</v>
      </c>
      <c r="B62" s="25">
        <v>303.997</v>
      </c>
      <c r="C62" s="25">
        <v>110.35099999999998</v>
      </c>
      <c r="D62" s="25">
        <v>45.42</v>
      </c>
      <c r="E62" s="4">
        <v>0</v>
      </c>
      <c r="F62" s="4">
        <v>0</v>
      </c>
      <c r="G62" s="4">
        <v>15.085</v>
      </c>
      <c r="H62" s="25">
        <v>0.73</v>
      </c>
      <c r="I62" s="4">
        <v>9.604</v>
      </c>
      <c r="J62" s="4">
        <v>0.979</v>
      </c>
      <c r="K62" s="25">
        <v>4.14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23">
        <v>490.30600000000004</v>
      </c>
    </row>
    <row r="63" spans="1:19" ht="15.75">
      <c r="A63" s="3" t="s">
        <v>31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0.142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25">
        <v>83.26</v>
      </c>
      <c r="O63" s="4">
        <v>0</v>
      </c>
      <c r="P63" s="4">
        <v>0</v>
      </c>
      <c r="Q63" s="4">
        <v>0</v>
      </c>
      <c r="R63" s="4">
        <v>0</v>
      </c>
      <c r="S63" s="23">
        <v>83.40199999999999</v>
      </c>
    </row>
    <row r="64" spans="1:19" ht="15.75">
      <c r="A64" s="3" t="s">
        <v>32</v>
      </c>
      <c r="B64" s="4">
        <v>36143.29</v>
      </c>
      <c r="C64" s="4">
        <v>13130.198000000002</v>
      </c>
      <c r="D64" s="4">
        <v>304.88800000000003</v>
      </c>
      <c r="E64" s="4">
        <v>31.267</v>
      </c>
      <c r="F64" s="4">
        <v>16388.307000000004</v>
      </c>
      <c r="G64" s="4">
        <v>2003.317</v>
      </c>
      <c r="H64" s="25">
        <v>1.17</v>
      </c>
      <c r="I64" s="4">
        <v>11858.502</v>
      </c>
      <c r="J64" s="4">
        <v>730.3379999999999</v>
      </c>
      <c r="K64" s="4">
        <v>3081.203</v>
      </c>
      <c r="L64" s="4">
        <v>556.185</v>
      </c>
      <c r="M64" s="4">
        <v>2.042</v>
      </c>
      <c r="N64" s="25">
        <v>99.54</v>
      </c>
      <c r="O64" s="4">
        <v>244.23399999999998</v>
      </c>
      <c r="P64" s="4">
        <v>0</v>
      </c>
      <c r="Q64" s="4">
        <v>0</v>
      </c>
      <c r="R64" s="4">
        <v>0</v>
      </c>
      <c r="S64" s="23">
        <v>84574.48099999999</v>
      </c>
    </row>
    <row r="65" spans="1:19" ht="15.75">
      <c r="A65" s="3" t="s">
        <v>33</v>
      </c>
      <c r="B65" s="4">
        <v>0</v>
      </c>
      <c r="C65" s="4">
        <v>0</v>
      </c>
      <c r="D65" s="4">
        <v>0</v>
      </c>
      <c r="E65" s="4">
        <v>0</v>
      </c>
      <c r="F65" s="4">
        <v>423.105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23">
        <v>423.105</v>
      </c>
    </row>
    <row r="66" spans="1:19" ht="16.5" thickBot="1">
      <c r="A66" s="5" t="s">
        <v>39</v>
      </c>
      <c r="B66" s="6">
        <v>233.91200000000003</v>
      </c>
      <c r="C66" s="6">
        <v>79.267</v>
      </c>
      <c r="D66" s="6">
        <v>6.558</v>
      </c>
      <c r="E66" s="6">
        <v>0</v>
      </c>
      <c r="F66" s="6">
        <v>0</v>
      </c>
      <c r="G66" s="6">
        <v>11.791999999999998</v>
      </c>
      <c r="H66" s="6">
        <v>0</v>
      </c>
      <c r="I66" s="6">
        <v>9.342</v>
      </c>
      <c r="J66" s="6">
        <v>0.544</v>
      </c>
      <c r="K66" s="6">
        <v>3.984</v>
      </c>
      <c r="L66" s="6">
        <v>0</v>
      </c>
      <c r="M66" s="6">
        <v>2.042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24">
        <v>347.44100000000003</v>
      </c>
    </row>
    <row r="67" spans="1:19" ht="16.5" thickBot="1">
      <c r="A67" s="27" t="s">
        <v>41</v>
      </c>
      <c r="B67" s="6">
        <v>36377.202</v>
      </c>
      <c r="C67" s="6">
        <v>13209.465000000002</v>
      </c>
      <c r="D67" s="6">
        <v>311.446</v>
      </c>
      <c r="E67" s="6">
        <v>31.267</v>
      </c>
      <c r="F67" s="6">
        <v>16811.412000000004</v>
      </c>
      <c r="G67" s="6">
        <v>2015.109</v>
      </c>
      <c r="H67" s="26">
        <v>1.17</v>
      </c>
      <c r="I67" s="6">
        <v>11867.844000000001</v>
      </c>
      <c r="J67" s="6">
        <v>730.8819999999998</v>
      </c>
      <c r="K67" s="6">
        <v>3085.187</v>
      </c>
      <c r="L67" s="6">
        <v>556.185</v>
      </c>
      <c r="M67" s="6">
        <v>4.084</v>
      </c>
      <c r="N67" s="26">
        <v>99.54</v>
      </c>
      <c r="O67" s="6">
        <v>244.23399999999998</v>
      </c>
      <c r="P67" s="6">
        <v>0</v>
      </c>
      <c r="Q67" s="6">
        <v>0</v>
      </c>
      <c r="R67" s="6">
        <v>0</v>
      </c>
      <c r="S67" s="7">
        <v>85345.02699999999</v>
      </c>
    </row>
    <row r="70" ht="15.75">
      <c r="A70" s="28" t="s">
        <v>42</v>
      </c>
    </row>
  </sheetData>
  <mergeCells count="1"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87"/>
  <sheetViews>
    <sheetView workbookViewId="0" topLeftCell="A16">
      <selection activeCell="O9" sqref="O9:O10"/>
    </sheetView>
  </sheetViews>
  <sheetFormatPr defaultColWidth="9.00390625" defaultRowHeight="12.75"/>
  <cols>
    <col min="1" max="1" width="8.625" style="73" customWidth="1"/>
    <col min="2" max="2" width="11.75390625" style="73" customWidth="1"/>
    <col min="3" max="3" width="7.375" style="73" customWidth="1"/>
    <col min="4" max="4" width="7.625" style="73" customWidth="1"/>
    <col min="5" max="5" width="8.25390625" style="73" customWidth="1"/>
    <col min="6" max="6" width="4.125" style="73" customWidth="1"/>
    <col min="7" max="7" width="11.375" style="73" customWidth="1"/>
    <col min="8" max="8" width="8.875" style="73" customWidth="1"/>
    <col min="9" max="9" width="8.25390625" style="73" customWidth="1"/>
    <col min="10" max="10" width="10.125" style="73" customWidth="1"/>
    <col min="11" max="11" width="5.375" style="73" customWidth="1"/>
    <col min="12" max="12" width="10.25390625" style="73" customWidth="1"/>
    <col min="13" max="13" width="7.125" style="73" customWidth="1"/>
    <col min="14" max="14" width="7.75390625" style="73" customWidth="1"/>
    <col min="15" max="15" width="9.25390625" style="73" customWidth="1"/>
    <col min="16" max="16" width="7.00390625" style="73" customWidth="1"/>
    <col min="17" max="17" width="10.875" style="73" customWidth="1"/>
    <col min="18" max="18" width="11.375" style="73" customWidth="1"/>
    <col min="19" max="19" width="8.625" style="73" customWidth="1"/>
    <col min="20" max="20" width="5.75390625" style="73" customWidth="1"/>
    <col min="21" max="21" width="10.00390625" style="73" customWidth="1"/>
    <col min="22" max="22" width="12.875" style="73" customWidth="1"/>
    <col min="23" max="23" width="13.375" style="36" customWidth="1"/>
    <col min="24" max="24" width="12.125" style="73" customWidth="1"/>
    <col min="25" max="25" width="14.00390625" style="73" customWidth="1"/>
    <col min="26" max="26" width="12.75390625" style="36" customWidth="1"/>
    <col min="27" max="27" width="14.625" style="36" customWidth="1"/>
    <col min="28" max="28" width="12.625" style="36" customWidth="1"/>
    <col min="29" max="29" width="12.625" style="73" customWidth="1"/>
    <col min="30" max="30" width="13.125" style="36" customWidth="1"/>
    <col min="31" max="32" width="11.25390625" style="36" customWidth="1"/>
    <col min="33" max="33" width="15.25390625" style="36" customWidth="1"/>
    <col min="34" max="34" width="13.75390625" style="73" customWidth="1"/>
    <col min="35" max="35" width="56.125" style="73" customWidth="1"/>
    <col min="36" max="36" width="42.625" style="73" customWidth="1"/>
    <col min="37" max="37" width="13.625" style="36" hidden="1" customWidth="1"/>
    <col min="38" max="38" width="19.125" style="36" hidden="1" customWidth="1"/>
    <col min="39" max="39" width="4.00390625" style="68" hidden="1" customWidth="1"/>
    <col min="40" max="16384" width="9.125" style="36" customWidth="1"/>
  </cols>
  <sheetData>
    <row r="1" spans="1:38" ht="15.75">
      <c r="A1" s="64" t="s">
        <v>177</v>
      </c>
      <c r="B1" s="64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6"/>
      <c r="Y1" s="66"/>
      <c r="Z1" s="67"/>
      <c r="AA1" s="67"/>
      <c r="AB1" s="67"/>
      <c r="AC1" s="66"/>
      <c r="AD1" s="67"/>
      <c r="AE1" s="67"/>
      <c r="AF1" s="67"/>
      <c r="AG1" s="67"/>
      <c r="AH1" s="66"/>
      <c r="AI1" s="66"/>
      <c r="AJ1" s="66"/>
      <c r="AK1" s="67"/>
      <c r="AL1" s="67"/>
    </row>
    <row r="2" spans="1:38" ht="12.75" customHeight="1">
      <c r="A2" s="69"/>
      <c r="B2" s="69"/>
      <c r="C2" s="69"/>
      <c r="D2" s="69"/>
      <c r="E2" s="69"/>
      <c r="F2" s="6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6"/>
      <c r="Y2" s="66"/>
      <c r="Z2" s="67"/>
      <c r="AA2" s="67"/>
      <c r="AB2" s="67"/>
      <c r="AC2" s="66"/>
      <c r="AD2" s="67"/>
      <c r="AE2" s="67"/>
      <c r="AF2" s="67"/>
      <c r="AG2" s="67"/>
      <c r="AH2" s="66"/>
      <c r="AI2" s="66"/>
      <c r="AJ2" s="66"/>
      <c r="AK2" s="67"/>
      <c r="AL2" s="67"/>
    </row>
    <row r="3" spans="1:39" ht="18.75" customHeight="1">
      <c r="A3" s="70" t="s">
        <v>232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8.7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1"/>
      <c r="Y4" s="71"/>
      <c r="Z4" s="72"/>
      <c r="AA4" s="72"/>
      <c r="AB4" s="72"/>
      <c r="AC4" s="72"/>
      <c r="AD4" s="72"/>
      <c r="AE4" s="72"/>
      <c r="AF4" s="72"/>
      <c r="AG4" s="72"/>
      <c r="AH4" s="71"/>
      <c r="AI4" s="71"/>
      <c r="AJ4" s="71"/>
      <c r="AK4" s="72"/>
      <c r="AL4" s="72"/>
      <c r="AM4" s="72"/>
    </row>
    <row r="5" spans="1:39" ht="19.5" customHeight="1">
      <c r="A5" s="70" t="s">
        <v>178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7:13" ht="15" customHeight="1">
      <c r="G6" s="74"/>
      <c r="H6" s="74"/>
      <c r="I6" s="74"/>
      <c r="J6" s="74"/>
      <c r="K6" s="74"/>
      <c r="L6" s="74"/>
      <c r="M6" s="74"/>
    </row>
    <row r="7" spans="1:39" ht="19.5" customHeight="1">
      <c r="A7" s="75" t="s">
        <v>179</v>
      </c>
      <c r="B7" s="76" t="s">
        <v>180</v>
      </c>
      <c r="C7" s="77" t="s">
        <v>181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80"/>
      <c r="W7" s="81" t="s">
        <v>182</v>
      </c>
      <c r="X7" s="82" t="s">
        <v>183</v>
      </c>
      <c r="Y7" s="83" t="s">
        <v>184</v>
      </c>
      <c r="Z7" s="84"/>
      <c r="AA7" s="76" t="s">
        <v>185</v>
      </c>
      <c r="AB7" s="84"/>
      <c r="AC7" s="84"/>
      <c r="AD7" s="84"/>
      <c r="AE7" s="84"/>
      <c r="AF7" s="76" t="s">
        <v>186</v>
      </c>
      <c r="AG7" s="76" t="s">
        <v>187</v>
      </c>
      <c r="AH7" s="84"/>
      <c r="AI7" s="85" t="s">
        <v>188</v>
      </c>
      <c r="AM7" s="36"/>
    </row>
    <row r="8" spans="1:39" ht="30" customHeight="1">
      <c r="A8" s="86"/>
      <c r="B8" s="87"/>
      <c r="C8" s="88" t="s">
        <v>189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0"/>
      <c r="Q8" s="90"/>
      <c r="R8" s="91"/>
      <c r="V8" s="92" t="s">
        <v>190</v>
      </c>
      <c r="W8" s="93"/>
      <c r="X8" s="92"/>
      <c r="Y8" s="94"/>
      <c r="Z8" s="92" t="s">
        <v>191</v>
      </c>
      <c r="AA8" s="95"/>
      <c r="AB8" s="92" t="s">
        <v>192</v>
      </c>
      <c r="AC8" s="92" t="s">
        <v>193</v>
      </c>
      <c r="AD8" s="92" t="s">
        <v>194</v>
      </c>
      <c r="AE8" s="92" t="s">
        <v>195</v>
      </c>
      <c r="AF8" s="87"/>
      <c r="AG8" s="95"/>
      <c r="AH8" s="96" t="s">
        <v>196</v>
      </c>
      <c r="AI8" s="97"/>
      <c r="AM8" s="36"/>
    </row>
    <row r="9" spans="1:39" ht="66" customHeight="1">
      <c r="A9" s="97"/>
      <c r="B9" s="95"/>
      <c r="C9" s="87" t="s">
        <v>197</v>
      </c>
      <c r="D9" s="87" t="s">
        <v>198</v>
      </c>
      <c r="E9" s="87" t="s">
        <v>199</v>
      </c>
      <c r="F9" s="76" t="s">
        <v>200</v>
      </c>
      <c r="G9" s="87" t="s">
        <v>201</v>
      </c>
      <c r="H9" s="87" t="s">
        <v>202</v>
      </c>
      <c r="I9" s="87" t="s">
        <v>203</v>
      </c>
      <c r="J9" s="87" t="s">
        <v>204</v>
      </c>
      <c r="K9" s="76" t="s">
        <v>200</v>
      </c>
      <c r="L9" s="87" t="s">
        <v>205</v>
      </c>
      <c r="M9" s="87" t="s">
        <v>206</v>
      </c>
      <c r="N9" s="98" t="s">
        <v>207</v>
      </c>
      <c r="O9" s="99" t="s">
        <v>208</v>
      </c>
      <c r="P9" s="99" t="s">
        <v>200</v>
      </c>
      <c r="Q9" s="99" t="s">
        <v>209</v>
      </c>
      <c r="R9" s="100" t="s">
        <v>210</v>
      </c>
      <c r="S9" s="101" t="s">
        <v>211</v>
      </c>
      <c r="T9" s="102"/>
      <c r="U9" s="103"/>
      <c r="V9" s="92"/>
      <c r="W9" s="93"/>
      <c r="X9" s="92"/>
      <c r="Y9" s="94"/>
      <c r="Z9" s="92"/>
      <c r="AA9" s="95"/>
      <c r="AB9" s="92"/>
      <c r="AC9" s="92"/>
      <c r="AD9" s="92"/>
      <c r="AE9" s="92"/>
      <c r="AF9" s="87"/>
      <c r="AG9" s="95"/>
      <c r="AH9" s="96"/>
      <c r="AI9" s="97"/>
      <c r="AM9" s="36"/>
    </row>
    <row r="10" spans="1:39" ht="69" customHeight="1">
      <c r="A10" s="104"/>
      <c r="B10" s="105"/>
      <c r="C10" s="106"/>
      <c r="D10" s="106"/>
      <c r="E10" s="106"/>
      <c r="F10" s="107"/>
      <c r="G10" s="106"/>
      <c r="H10" s="106"/>
      <c r="I10" s="106"/>
      <c r="J10" s="106"/>
      <c r="K10" s="107"/>
      <c r="L10" s="106"/>
      <c r="M10" s="106"/>
      <c r="N10" s="108"/>
      <c r="O10" s="99"/>
      <c r="P10" s="99"/>
      <c r="Q10" s="99"/>
      <c r="R10" s="109"/>
      <c r="S10" s="110" t="s">
        <v>212</v>
      </c>
      <c r="T10" s="110" t="s">
        <v>200</v>
      </c>
      <c r="U10" s="110" t="s">
        <v>213</v>
      </c>
      <c r="V10" s="111"/>
      <c r="W10" s="112"/>
      <c r="X10" s="111"/>
      <c r="Y10" s="113"/>
      <c r="Z10" s="111"/>
      <c r="AA10" s="105"/>
      <c r="AB10" s="111"/>
      <c r="AC10" s="111"/>
      <c r="AD10" s="111"/>
      <c r="AE10" s="111"/>
      <c r="AF10" s="107"/>
      <c r="AG10" s="105"/>
      <c r="AH10" s="114"/>
      <c r="AI10" s="104"/>
      <c r="AM10" s="36"/>
    </row>
    <row r="11" spans="1:36" s="126" customFormat="1" ht="42" customHeight="1">
      <c r="A11" s="115" t="s">
        <v>214</v>
      </c>
      <c r="B11" s="116">
        <f>AH11</f>
        <v>42704.82</v>
      </c>
      <c r="C11" s="117" t="s">
        <v>215</v>
      </c>
      <c r="D11" s="118">
        <v>39.91</v>
      </c>
      <c r="E11" s="118">
        <f>D11</f>
        <v>39.91</v>
      </c>
      <c r="F11" s="119">
        <v>12</v>
      </c>
      <c r="G11" s="120">
        <f>E11*F11</f>
        <v>478.91999999999996</v>
      </c>
      <c r="H11" s="117"/>
      <c r="I11" s="121"/>
      <c r="J11" s="118"/>
      <c r="K11" s="119"/>
      <c r="L11" s="120"/>
      <c r="M11" s="118"/>
      <c r="N11" s="118"/>
      <c r="O11" s="122">
        <v>72.33</v>
      </c>
      <c r="P11" s="123">
        <v>12</v>
      </c>
      <c r="Q11" s="122">
        <f>O11*P11</f>
        <v>867.96</v>
      </c>
      <c r="R11" s="122">
        <f aca="true" t="shared" si="0" ref="R11:R34">G11+L11+N11+Q11</f>
        <v>1346.88</v>
      </c>
      <c r="S11" s="122">
        <v>100</v>
      </c>
      <c r="T11" s="123">
        <v>12</v>
      </c>
      <c r="U11" s="122">
        <f>S11*12</f>
        <v>1200</v>
      </c>
      <c r="V11" s="122">
        <v>8740</v>
      </c>
      <c r="W11" s="122">
        <f>666.94+148</f>
        <v>814.94</v>
      </c>
      <c r="X11" s="122">
        <v>3153</v>
      </c>
      <c r="Y11" s="124">
        <f>R11+U11+V11+W11+X11</f>
        <v>15254.820000000002</v>
      </c>
      <c r="Z11" s="122">
        <v>20000</v>
      </c>
      <c r="AA11" s="122"/>
      <c r="AB11" s="122">
        <v>3250</v>
      </c>
      <c r="AC11" s="122">
        <v>1800</v>
      </c>
      <c r="AD11" s="122">
        <v>1800</v>
      </c>
      <c r="AE11" s="122"/>
      <c r="AF11" s="122"/>
      <c r="AG11" s="122">
        <v>600</v>
      </c>
      <c r="AH11" s="124">
        <f>Y11+Z11+AB11+AC11+AD11+AE11+AG11+AA11</f>
        <v>42704.82</v>
      </c>
      <c r="AI11" s="125" t="s">
        <v>216</v>
      </c>
      <c r="AJ11" s="73"/>
    </row>
    <row r="12" spans="1:36" s="126" customFormat="1" ht="19.5" customHeight="1">
      <c r="A12" s="127">
        <v>16</v>
      </c>
      <c r="B12" s="116">
        <f aca="true" t="shared" si="1" ref="B12:B34">AH12</f>
        <v>66179.1</v>
      </c>
      <c r="C12" s="128" t="s">
        <v>217</v>
      </c>
      <c r="D12" s="120">
        <v>39.91</v>
      </c>
      <c r="E12" s="120">
        <f>D12*2</f>
        <v>79.82</v>
      </c>
      <c r="F12" s="119">
        <v>12</v>
      </c>
      <c r="G12" s="120">
        <f>E12*F12</f>
        <v>957.8399999999999</v>
      </c>
      <c r="H12" s="128"/>
      <c r="I12" s="129"/>
      <c r="J12" s="120"/>
      <c r="K12" s="119"/>
      <c r="L12" s="120"/>
      <c r="M12" s="120"/>
      <c r="N12" s="120"/>
      <c r="O12" s="122">
        <v>72.33</v>
      </c>
      <c r="P12" s="123">
        <v>12</v>
      </c>
      <c r="Q12" s="122">
        <f>O12*P12</f>
        <v>867.96</v>
      </c>
      <c r="R12" s="122">
        <f t="shared" si="0"/>
        <v>1825.8</v>
      </c>
      <c r="S12" s="122"/>
      <c r="T12" s="122"/>
      <c r="U12" s="124"/>
      <c r="V12" s="122">
        <v>8740</v>
      </c>
      <c r="W12" s="122">
        <f>993.3+148</f>
        <v>1141.3</v>
      </c>
      <c r="X12" s="122">
        <v>6372</v>
      </c>
      <c r="Y12" s="124">
        <f aca="true" t="shared" si="2" ref="Y12:Y34">R12+U12+V12+W12+X12</f>
        <v>18079.1</v>
      </c>
      <c r="Z12" s="122">
        <v>20000</v>
      </c>
      <c r="AA12" s="122">
        <v>15000</v>
      </c>
      <c r="AB12" s="122">
        <v>5500</v>
      </c>
      <c r="AC12" s="122">
        <v>5400</v>
      </c>
      <c r="AD12" s="122">
        <v>1600</v>
      </c>
      <c r="AE12" s="122"/>
      <c r="AF12" s="122"/>
      <c r="AG12" s="122">
        <v>600</v>
      </c>
      <c r="AH12" s="124">
        <f>Y12+Z12+AB12+AC12+AD12+AE12+AG12+AA12</f>
        <v>66179.1</v>
      </c>
      <c r="AI12" s="130" t="s">
        <v>218</v>
      </c>
      <c r="AJ12" s="73"/>
    </row>
    <row r="13" spans="1:36" s="126" customFormat="1" ht="19.5" customHeight="1">
      <c r="A13" s="127">
        <v>17</v>
      </c>
      <c r="B13" s="116">
        <f t="shared" si="1"/>
        <v>53025.94</v>
      </c>
      <c r="C13" s="117"/>
      <c r="D13" s="118"/>
      <c r="E13" s="118"/>
      <c r="F13" s="119"/>
      <c r="G13" s="120"/>
      <c r="H13" s="117"/>
      <c r="I13" s="129"/>
      <c r="J13" s="120"/>
      <c r="K13" s="119"/>
      <c r="L13" s="120"/>
      <c r="M13" s="118"/>
      <c r="N13" s="118"/>
      <c r="O13" s="122"/>
      <c r="P13" s="123"/>
      <c r="Q13" s="122"/>
      <c r="R13" s="122">
        <f t="shared" si="0"/>
        <v>0</v>
      </c>
      <c r="S13" s="122"/>
      <c r="T13" s="122"/>
      <c r="U13" s="124"/>
      <c r="V13" s="122">
        <v>8740</v>
      </c>
      <c r="W13" s="122">
        <f>884.94+148</f>
        <v>1032.94</v>
      </c>
      <c r="X13" s="122">
        <v>3153</v>
      </c>
      <c r="Y13" s="124">
        <f t="shared" si="2"/>
        <v>12925.94</v>
      </c>
      <c r="Z13" s="122">
        <v>20000</v>
      </c>
      <c r="AA13" s="122">
        <v>15000</v>
      </c>
      <c r="AB13" s="122">
        <v>2700</v>
      </c>
      <c r="AC13" s="122"/>
      <c r="AD13" s="122">
        <v>1800</v>
      </c>
      <c r="AE13" s="122"/>
      <c r="AF13" s="122"/>
      <c r="AG13" s="122">
        <v>600</v>
      </c>
      <c r="AH13" s="124">
        <f>Y13+Z13+AB13+AC13+AD13+AE13+AG13+AA13</f>
        <v>53025.94</v>
      </c>
      <c r="AI13" s="130" t="s">
        <v>219</v>
      </c>
      <c r="AJ13" s="73"/>
    </row>
    <row r="14" spans="1:36" s="126" customFormat="1" ht="19.5" customHeight="1">
      <c r="A14" s="131">
        <v>21</v>
      </c>
      <c r="B14" s="116">
        <f t="shared" si="1"/>
        <v>30713.379999999997</v>
      </c>
      <c r="C14" s="117" t="s">
        <v>215</v>
      </c>
      <c r="D14" s="118">
        <v>35.89</v>
      </c>
      <c r="E14" s="118">
        <f aca="true" t="shared" si="3" ref="E14:E19">D14</f>
        <v>35.89</v>
      </c>
      <c r="F14" s="119">
        <v>12</v>
      </c>
      <c r="G14" s="120">
        <f aca="true" t="shared" si="4" ref="G14:G34">E14*F14</f>
        <v>430.68</v>
      </c>
      <c r="H14" s="117">
        <v>0.054</v>
      </c>
      <c r="I14" s="121">
        <v>655</v>
      </c>
      <c r="J14" s="118">
        <f>H14*I14</f>
        <v>35.37</v>
      </c>
      <c r="K14" s="119">
        <v>12</v>
      </c>
      <c r="L14" s="120">
        <f>J14*K14</f>
        <v>424.43999999999994</v>
      </c>
      <c r="M14" s="118">
        <v>0.5</v>
      </c>
      <c r="N14" s="118">
        <f>M14*12</f>
        <v>6</v>
      </c>
      <c r="O14" s="122">
        <v>100</v>
      </c>
      <c r="P14" s="123">
        <v>10</v>
      </c>
      <c r="Q14" s="122">
        <f>O14*P14</f>
        <v>1000</v>
      </c>
      <c r="R14" s="122">
        <f t="shared" si="0"/>
        <v>1861.12</v>
      </c>
      <c r="S14" s="122"/>
      <c r="T14" s="122"/>
      <c r="U14" s="124"/>
      <c r="V14" s="122">
        <v>8740</v>
      </c>
      <c r="W14" s="122">
        <f>1282.26+148</f>
        <v>1430.26</v>
      </c>
      <c r="X14" s="122">
        <v>6372</v>
      </c>
      <c r="Y14" s="124">
        <f t="shared" si="2"/>
        <v>18403.379999999997</v>
      </c>
      <c r="Z14" s="122">
        <v>8000</v>
      </c>
      <c r="AA14" s="122"/>
      <c r="AB14" s="122">
        <v>2360</v>
      </c>
      <c r="AC14" s="122"/>
      <c r="AD14" s="122">
        <v>1350</v>
      </c>
      <c r="AE14" s="122"/>
      <c r="AF14" s="122"/>
      <c r="AG14" s="122">
        <v>600</v>
      </c>
      <c r="AH14" s="124">
        <f>Y14+Z14+AB14+AC14+AD14+AE14+AG14+AA14</f>
        <v>30713.379999999997</v>
      </c>
      <c r="AI14" s="130" t="s">
        <v>220</v>
      </c>
      <c r="AJ14" s="73"/>
    </row>
    <row r="15" spans="1:36" s="126" customFormat="1" ht="24.75" customHeight="1">
      <c r="A15" s="131">
        <v>22</v>
      </c>
      <c r="B15" s="116">
        <f t="shared" si="1"/>
        <v>26599.48</v>
      </c>
      <c r="C15" s="117" t="s">
        <v>215</v>
      </c>
      <c r="D15" s="118">
        <v>39.91</v>
      </c>
      <c r="E15" s="118">
        <f t="shared" si="3"/>
        <v>39.91</v>
      </c>
      <c r="F15" s="119">
        <v>12</v>
      </c>
      <c r="G15" s="120">
        <f t="shared" si="4"/>
        <v>478.91999999999996</v>
      </c>
      <c r="H15" s="117">
        <v>0.054</v>
      </c>
      <c r="I15" s="121">
        <v>445</v>
      </c>
      <c r="J15" s="118">
        <f>H15*I15</f>
        <v>24.03</v>
      </c>
      <c r="K15" s="119">
        <v>12</v>
      </c>
      <c r="L15" s="120">
        <f>J15*K15</f>
        <v>288.36</v>
      </c>
      <c r="M15" s="118"/>
      <c r="N15" s="118"/>
      <c r="O15" s="122">
        <v>72.33</v>
      </c>
      <c r="P15" s="123">
        <v>12</v>
      </c>
      <c r="Q15" s="122">
        <f>O15*P15</f>
        <v>867.96</v>
      </c>
      <c r="R15" s="122">
        <f t="shared" si="0"/>
        <v>1635.24</v>
      </c>
      <c r="S15" s="122"/>
      <c r="T15" s="122"/>
      <c r="U15" s="124"/>
      <c r="V15" s="122">
        <v>8740</v>
      </c>
      <c r="W15" s="122">
        <f>1104.24+148</f>
        <v>1252.24</v>
      </c>
      <c r="X15" s="122">
        <v>6372</v>
      </c>
      <c r="Y15" s="124">
        <f t="shared" si="2"/>
        <v>17999.48</v>
      </c>
      <c r="Z15" s="122">
        <v>8000</v>
      </c>
      <c r="AA15" s="122"/>
      <c r="AB15" s="122"/>
      <c r="AC15" s="122"/>
      <c r="AD15" s="122"/>
      <c r="AE15" s="122"/>
      <c r="AF15" s="122"/>
      <c r="AG15" s="122">
        <v>600</v>
      </c>
      <c r="AH15" s="124">
        <f>Y15+Z15+AB15+AC15+AD15+AE15+AG15+AA15</f>
        <v>26599.48</v>
      </c>
      <c r="AI15" s="125" t="s">
        <v>221</v>
      </c>
      <c r="AJ15" s="73"/>
    </row>
    <row r="16" spans="1:36" s="126" customFormat="1" ht="32.25" customHeight="1">
      <c r="A16" s="131">
        <v>45</v>
      </c>
      <c r="B16" s="116">
        <f t="shared" si="1"/>
        <v>60118.69</v>
      </c>
      <c r="C16" s="117" t="s">
        <v>215</v>
      </c>
      <c r="D16" s="118">
        <v>35.89</v>
      </c>
      <c r="E16" s="118">
        <f t="shared" si="3"/>
        <v>35.89</v>
      </c>
      <c r="F16" s="119">
        <v>12</v>
      </c>
      <c r="G16" s="120">
        <f t="shared" si="4"/>
        <v>430.68</v>
      </c>
      <c r="H16" s="117">
        <v>0.054</v>
      </c>
      <c r="I16" s="121">
        <v>445</v>
      </c>
      <c r="J16" s="118">
        <f>H16*I16</f>
        <v>24.03</v>
      </c>
      <c r="K16" s="119">
        <v>13</v>
      </c>
      <c r="L16" s="120">
        <f>J16*K16</f>
        <v>312.39</v>
      </c>
      <c r="M16" s="118"/>
      <c r="N16" s="118"/>
      <c r="O16" s="122">
        <v>68.21</v>
      </c>
      <c r="P16" s="123">
        <v>12</v>
      </c>
      <c r="Q16" s="122">
        <f>O16*P16</f>
        <v>818.52</v>
      </c>
      <c r="R16" s="122">
        <f t="shared" si="0"/>
        <v>1561.59</v>
      </c>
      <c r="S16" s="118"/>
      <c r="T16" s="118"/>
      <c r="U16" s="132"/>
      <c r="V16" s="122">
        <v>8740</v>
      </c>
      <c r="W16" s="122">
        <f>116.1+148</f>
        <v>264.1</v>
      </c>
      <c r="X16" s="122">
        <v>3153</v>
      </c>
      <c r="Y16" s="124">
        <f t="shared" si="2"/>
        <v>13718.69</v>
      </c>
      <c r="Z16" s="122">
        <v>20000</v>
      </c>
      <c r="AA16" s="122">
        <v>15000</v>
      </c>
      <c r="AB16" s="122">
        <v>200</v>
      </c>
      <c r="AC16" s="122">
        <v>1800</v>
      </c>
      <c r="AD16" s="122">
        <v>1000</v>
      </c>
      <c r="AE16" s="122">
        <v>1000</v>
      </c>
      <c r="AF16" s="122">
        <v>7000</v>
      </c>
      <c r="AG16" s="122">
        <v>400</v>
      </c>
      <c r="AH16" s="124">
        <f>Y16+Z16+AB16+AC16+AD16+AE16+AG16+AA16+AF16</f>
        <v>60118.69</v>
      </c>
      <c r="AI16" s="133" t="s">
        <v>222</v>
      </c>
      <c r="AJ16" s="73"/>
    </row>
    <row r="17" spans="1:36" s="126" customFormat="1" ht="19.5" customHeight="1">
      <c r="A17" s="131">
        <v>86</v>
      </c>
      <c r="B17" s="116">
        <f t="shared" si="1"/>
        <v>59830.520000000004</v>
      </c>
      <c r="C17" s="117" t="s">
        <v>215</v>
      </c>
      <c r="D17" s="118">
        <v>31.49</v>
      </c>
      <c r="E17" s="118">
        <f t="shared" si="3"/>
        <v>31.49</v>
      </c>
      <c r="F17" s="119">
        <v>12</v>
      </c>
      <c r="G17" s="120">
        <f t="shared" si="4"/>
        <v>377.88</v>
      </c>
      <c r="H17" s="117">
        <v>0.054</v>
      </c>
      <c r="I17" s="121">
        <v>840</v>
      </c>
      <c r="J17" s="118">
        <f>H17*I17</f>
        <v>45.36</v>
      </c>
      <c r="K17" s="119">
        <v>12</v>
      </c>
      <c r="L17" s="120">
        <f>J17*K17</f>
        <v>544.3199999999999</v>
      </c>
      <c r="M17" s="118">
        <v>0.5</v>
      </c>
      <c r="N17" s="118">
        <f>M17*12</f>
        <v>6</v>
      </c>
      <c r="O17" s="122">
        <v>100</v>
      </c>
      <c r="P17" s="123">
        <v>10</v>
      </c>
      <c r="Q17" s="122">
        <f aca="true" t="shared" si="5" ref="Q17:Q33">O17*P17</f>
        <v>1000</v>
      </c>
      <c r="R17" s="122">
        <f t="shared" si="0"/>
        <v>1928.1999999999998</v>
      </c>
      <c r="S17" s="122"/>
      <c r="T17" s="122"/>
      <c r="U17" s="124"/>
      <c r="V17" s="122">
        <v>8740</v>
      </c>
      <c r="W17" s="122">
        <f>1042.32+148</f>
        <v>1190.32</v>
      </c>
      <c r="X17" s="122">
        <v>6372</v>
      </c>
      <c r="Y17" s="124">
        <f t="shared" si="2"/>
        <v>18230.52</v>
      </c>
      <c r="Z17" s="122">
        <v>20000</v>
      </c>
      <c r="AA17" s="122">
        <v>15000</v>
      </c>
      <c r="AB17" s="122">
        <v>4000</v>
      </c>
      <c r="AC17" s="122"/>
      <c r="AD17" s="122">
        <v>2000</v>
      </c>
      <c r="AE17" s="122"/>
      <c r="AF17" s="122"/>
      <c r="AG17" s="122">
        <v>600</v>
      </c>
      <c r="AH17" s="124">
        <f aca="true" t="shared" si="6" ref="AH17:AH34">Y17+Z17+AB17+AC17+AD17+AE17+AG17+AA17</f>
        <v>59830.520000000004</v>
      </c>
      <c r="AI17" s="130" t="s">
        <v>220</v>
      </c>
      <c r="AJ17" s="73"/>
    </row>
    <row r="18" spans="1:36" s="126" customFormat="1" ht="19.5" customHeight="1">
      <c r="A18" s="131">
        <v>90</v>
      </c>
      <c r="B18" s="116">
        <f t="shared" si="1"/>
        <v>61713.42</v>
      </c>
      <c r="C18" s="117" t="s">
        <v>215</v>
      </c>
      <c r="D18" s="118">
        <v>35.89</v>
      </c>
      <c r="E18" s="118">
        <f t="shared" si="3"/>
        <v>35.89</v>
      </c>
      <c r="F18" s="119">
        <v>12</v>
      </c>
      <c r="G18" s="120">
        <f t="shared" si="4"/>
        <v>430.68</v>
      </c>
      <c r="H18" s="117">
        <v>0.054</v>
      </c>
      <c r="I18" s="121">
        <v>520</v>
      </c>
      <c r="J18" s="118">
        <f aca="true" t="shared" si="7" ref="J18:J28">H18*I18</f>
        <v>28.08</v>
      </c>
      <c r="K18" s="119">
        <v>12</v>
      </c>
      <c r="L18" s="120">
        <f aca="true" t="shared" si="8" ref="L18:L34">J18*K18</f>
        <v>336.96</v>
      </c>
      <c r="M18" s="118"/>
      <c r="N18" s="118"/>
      <c r="O18" s="122">
        <v>72.33</v>
      </c>
      <c r="P18" s="123">
        <v>12</v>
      </c>
      <c r="Q18" s="122">
        <f t="shared" si="5"/>
        <v>867.96</v>
      </c>
      <c r="R18" s="122">
        <f t="shared" si="0"/>
        <v>1635.6</v>
      </c>
      <c r="S18" s="122"/>
      <c r="T18" s="122"/>
      <c r="U18" s="124"/>
      <c r="V18" s="122">
        <v>8740</v>
      </c>
      <c r="W18" s="122">
        <f>1017.82+148</f>
        <v>1165.8200000000002</v>
      </c>
      <c r="X18" s="122">
        <v>6372</v>
      </c>
      <c r="Y18" s="124">
        <f t="shared" si="2"/>
        <v>17913.42</v>
      </c>
      <c r="Z18" s="122">
        <v>20000</v>
      </c>
      <c r="AA18" s="122">
        <v>15000</v>
      </c>
      <c r="AB18" s="122">
        <v>450</v>
      </c>
      <c r="AC18" s="122">
        <v>5400</v>
      </c>
      <c r="AD18" s="122">
        <v>1800</v>
      </c>
      <c r="AE18" s="122">
        <v>550</v>
      </c>
      <c r="AF18" s="122"/>
      <c r="AG18" s="122">
        <v>600</v>
      </c>
      <c r="AH18" s="124">
        <f t="shared" si="6"/>
        <v>61713.42</v>
      </c>
      <c r="AI18" s="130" t="s">
        <v>218</v>
      </c>
      <c r="AJ18" s="73"/>
    </row>
    <row r="19" spans="1:36" s="126" customFormat="1" ht="19.5" customHeight="1">
      <c r="A19" s="131">
        <v>94</v>
      </c>
      <c r="B19" s="116">
        <f t="shared" si="1"/>
        <v>57225.46</v>
      </c>
      <c r="C19" s="117" t="s">
        <v>215</v>
      </c>
      <c r="D19" s="118">
        <v>39.91</v>
      </c>
      <c r="E19" s="118">
        <f t="shared" si="3"/>
        <v>39.91</v>
      </c>
      <c r="F19" s="119">
        <v>12</v>
      </c>
      <c r="G19" s="120">
        <f t="shared" si="4"/>
        <v>478.91999999999996</v>
      </c>
      <c r="H19" s="117"/>
      <c r="I19" s="121"/>
      <c r="J19" s="118"/>
      <c r="K19" s="119"/>
      <c r="L19" s="120"/>
      <c r="M19" s="118"/>
      <c r="N19" s="118"/>
      <c r="O19" s="122">
        <v>72.33</v>
      </c>
      <c r="P19" s="123">
        <v>12</v>
      </c>
      <c r="Q19" s="122">
        <f t="shared" si="5"/>
        <v>867.96</v>
      </c>
      <c r="R19" s="122">
        <f t="shared" si="0"/>
        <v>1346.88</v>
      </c>
      <c r="S19" s="122"/>
      <c r="T19" s="122"/>
      <c r="U19" s="124"/>
      <c r="V19" s="122">
        <v>8740</v>
      </c>
      <c r="W19" s="122">
        <f>518.58+148</f>
        <v>666.58</v>
      </c>
      <c r="X19" s="122">
        <v>6372</v>
      </c>
      <c r="Y19" s="124">
        <f t="shared" si="2"/>
        <v>17125.46</v>
      </c>
      <c r="Z19" s="122">
        <v>20000</v>
      </c>
      <c r="AA19" s="122">
        <v>15000</v>
      </c>
      <c r="AB19" s="122">
        <v>3300</v>
      </c>
      <c r="AC19" s="122"/>
      <c r="AD19" s="122">
        <v>1200</v>
      </c>
      <c r="AE19" s="122"/>
      <c r="AF19" s="122"/>
      <c r="AG19" s="122">
        <v>600</v>
      </c>
      <c r="AH19" s="124">
        <f t="shared" si="6"/>
        <v>57225.46</v>
      </c>
      <c r="AI19" s="130" t="s">
        <v>218</v>
      </c>
      <c r="AJ19" s="73"/>
    </row>
    <row r="20" spans="1:39" ht="31.5" customHeight="1">
      <c r="A20" s="131">
        <v>116</v>
      </c>
      <c r="B20" s="116">
        <f t="shared" si="1"/>
        <v>28925.66</v>
      </c>
      <c r="C20" s="134" t="s">
        <v>223</v>
      </c>
      <c r="D20" s="135" t="s">
        <v>224</v>
      </c>
      <c r="E20" s="118">
        <v>43.75</v>
      </c>
      <c r="F20" s="119">
        <v>12</v>
      </c>
      <c r="G20" s="120">
        <f t="shared" si="4"/>
        <v>525</v>
      </c>
      <c r="H20" s="117"/>
      <c r="I20" s="121"/>
      <c r="J20" s="118"/>
      <c r="K20" s="119"/>
      <c r="L20" s="120"/>
      <c r="M20" s="118"/>
      <c r="N20" s="118"/>
      <c r="O20" s="122">
        <v>72.33</v>
      </c>
      <c r="P20" s="123">
        <v>12</v>
      </c>
      <c r="Q20" s="122">
        <f t="shared" si="5"/>
        <v>867.96</v>
      </c>
      <c r="R20" s="122">
        <f t="shared" si="0"/>
        <v>1392.96</v>
      </c>
      <c r="S20" s="122"/>
      <c r="T20" s="122"/>
      <c r="U20" s="124"/>
      <c r="V20" s="122">
        <v>3500</v>
      </c>
      <c r="W20" s="122">
        <f>812.7+148</f>
        <v>960.7</v>
      </c>
      <c r="X20" s="122">
        <v>6372</v>
      </c>
      <c r="Y20" s="124">
        <f t="shared" si="2"/>
        <v>12225.66</v>
      </c>
      <c r="Z20" s="122">
        <v>8000</v>
      </c>
      <c r="AA20" s="122"/>
      <c r="AB20" s="122">
        <v>1200</v>
      </c>
      <c r="AC20" s="122">
        <v>5400</v>
      </c>
      <c r="AD20" s="122">
        <v>1500</v>
      </c>
      <c r="AE20" s="122"/>
      <c r="AF20" s="122"/>
      <c r="AG20" s="122">
        <v>600</v>
      </c>
      <c r="AH20" s="124">
        <f t="shared" si="6"/>
        <v>28925.66</v>
      </c>
      <c r="AI20" s="130" t="s">
        <v>218</v>
      </c>
      <c r="AM20" s="36"/>
    </row>
    <row r="21" spans="1:36" s="126" customFormat="1" ht="30.75" customHeight="1">
      <c r="A21" s="131">
        <v>206</v>
      </c>
      <c r="B21" s="116">
        <f t="shared" si="1"/>
        <v>34812.98</v>
      </c>
      <c r="C21" s="134" t="s">
        <v>223</v>
      </c>
      <c r="D21" s="135" t="s">
        <v>225</v>
      </c>
      <c r="E21" s="118">
        <v>47.59</v>
      </c>
      <c r="F21" s="119">
        <v>12</v>
      </c>
      <c r="G21" s="120">
        <f t="shared" si="4"/>
        <v>571.08</v>
      </c>
      <c r="H21" s="117"/>
      <c r="I21" s="121"/>
      <c r="J21" s="118"/>
      <c r="K21" s="119"/>
      <c r="L21" s="120"/>
      <c r="M21" s="118"/>
      <c r="N21" s="118"/>
      <c r="O21" s="122">
        <v>72.33</v>
      </c>
      <c r="P21" s="136">
        <v>12</v>
      </c>
      <c r="Q21" s="122">
        <f t="shared" si="5"/>
        <v>867.96</v>
      </c>
      <c r="R21" s="122">
        <f>G21+L21+N21+Q21</f>
        <v>1439.04</v>
      </c>
      <c r="S21" s="122"/>
      <c r="T21" s="122"/>
      <c r="U21" s="124"/>
      <c r="V21" s="122">
        <v>8740</v>
      </c>
      <c r="W21" s="122">
        <f>1013.94+148</f>
        <v>1161.94</v>
      </c>
      <c r="X21" s="122">
        <v>6372</v>
      </c>
      <c r="Y21" s="124">
        <f t="shared" si="2"/>
        <v>17712.980000000003</v>
      </c>
      <c r="Z21" s="122">
        <v>8000</v>
      </c>
      <c r="AA21" s="122"/>
      <c r="AB21" s="122">
        <v>700</v>
      </c>
      <c r="AC21" s="122">
        <v>5400</v>
      </c>
      <c r="AD21" s="122">
        <v>2000</v>
      </c>
      <c r="AE21" s="122">
        <v>400</v>
      </c>
      <c r="AF21" s="122"/>
      <c r="AG21" s="122">
        <v>600</v>
      </c>
      <c r="AH21" s="124">
        <f t="shared" si="6"/>
        <v>34812.98</v>
      </c>
      <c r="AI21" s="130" t="s">
        <v>218</v>
      </c>
      <c r="AJ21" s="73"/>
    </row>
    <row r="22" spans="1:39" ht="19.5" customHeight="1">
      <c r="A22" s="131">
        <v>267</v>
      </c>
      <c r="B22" s="116">
        <f t="shared" si="1"/>
        <v>59396.7</v>
      </c>
      <c r="C22" s="117" t="s">
        <v>215</v>
      </c>
      <c r="D22" s="118">
        <v>35.89</v>
      </c>
      <c r="E22" s="118">
        <f>D22</f>
        <v>35.89</v>
      </c>
      <c r="F22" s="119">
        <v>12</v>
      </c>
      <c r="G22" s="120">
        <f t="shared" si="4"/>
        <v>430.68</v>
      </c>
      <c r="H22" s="117">
        <v>0.054</v>
      </c>
      <c r="I22" s="121">
        <v>740</v>
      </c>
      <c r="J22" s="118">
        <f t="shared" si="7"/>
        <v>39.96</v>
      </c>
      <c r="K22" s="119">
        <v>12</v>
      </c>
      <c r="L22" s="120">
        <f t="shared" si="8"/>
        <v>479.52</v>
      </c>
      <c r="M22" s="118"/>
      <c r="N22" s="118"/>
      <c r="O22" s="122">
        <v>124</v>
      </c>
      <c r="P22" s="123">
        <v>12</v>
      </c>
      <c r="Q22" s="122">
        <f t="shared" si="5"/>
        <v>1488</v>
      </c>
      <c r="R22" s="122">
        <f t="shared" si="0"/>
        <v>2398.2</v>
      </c>
      <c r="S22" s="122"/>
      <c r="T22" s="122"/>
      <c r="U22" s="124"/>
      <c r="V22" s="122">
        <v>3500</v>
      </c>
      <c r="W22" s="122">
        <f>878.5+148</f>
        <v>1026.5</v>
      </c>
      <c r="X22" s="122">
        <v>6372</v>
      </c>
      <c r="Y22" s="124">
        <f t="shared" si="2"/>
        <v>13296.7</v>
      </c>
      <c r="Z22" s="122">
        <v>20000</v>
      </c>
      <c r="AA22" s="122">
        <v>15000</v>
      </c>
      <c r="AB22" s="122">
        <v>2800</v>
      </c>
      <c r="AC22" s="122">
        <v>5400</v>
      </c>
      <c r="AD22" s="122">
        <v>2500</v>
      </c>
      <c r="AE22" s="122"/>
      <c r="AF22" s="122"/>
      <c r="AG22" s="122">
        <v>400</v>
      </c>
      <c r="AH22" s="124">
        <f t="shared" si="6"/>
        <v>59396.7</v>
      </c>
      <c r="AI22" s="130" t="s">
        <v>218</v>
      </c>
      <c r="AM22" s="36"/>
    </row>
    <row r="23" spans="1:36" s="126" customFormat="1" ht="19.5" customHeight="1">
      <c r="A23" s="131">
        <v>269</v>
      </c>
      <c r="B23" s="116">
        <f t="shared" si="1"/>
        <v>57978.132</v>
      </c>
      <c r="C23" s="117" t="s">
        <v>217</v>
      </c>
      <c r="D23" s="118">
        <v>35.89</v>
      </c>
      <c r="E23" s="118">
        <f>D23*2</f>
        <v>71.78</v>
      </c>
      <c r="F23" s="119">
        <v>12</v>
      </c>
      <c r="G23" s="120">
        <f t="shared" si="4"/>
        <v>861.36</v>
      </c>
      <c r="H23" s="117">
        <v>0.054</v>
      </c>
      <c r="I23" s="121">
        <v>424</v>
      </c>
      <c r="J23" s="118">
        <f t="shared" si="7"/>
        <v>22.896</v>
      </c>
      <c r="K23" s="119">
        <v>12</v>
      </c>
      <c r="L23" s="120">
        <f t="shared" si="8"/>
        <v>274.752</v>
      </c>
      <c r="M23" s="118"/>
      <c r="N23" s="118"/>
      <c r="O23" s="122">
        <v>113.68</v>
      </c>
      <c r="P23" s="123">
        <v>12</v>
      </c>
      <c r="Q23" s="122">
        <f t="shared" si="5"/>
        <v>1364.16</v>
      </c>
      <c r="R23" s="122">
        <f t="shared" si="0"/>
        <v>2500.272</v>
      </c>
      <c r="S23" s="122"/>
      <c r="T23" s="122"/>
      <c r="U23" s="124"/>
      <c r="V23" s="122">
        <v>8740</v>
      </c>
      <c r="W23" s="122">
        <f>817.86+148</f>
        <v>965.86</v>
      </c>
      <c r="X23" s="122">
        <v>6372</v>
      </c>
      <c r="Y23" s="124">
        <f t="shared" si="2"/>
        <v>18578.132</v>
      </c>
      <c r="Z23" s="122">
        <v>20000</v>
      </c>
      <c r="AA23" s="122">
        <v>15000</v>
      </c>
      <c r="AB23" s="122"/>
      <c r="AC23" s="122">
        <v>1800</v>
      </c>
      <c r="AD23" s="122">
        <v>2000</v>
      </c>
      <c r="AE23" s="122"/>
      <c r="AF23" s="122"/>
      <c r="AG23" s="122">
        <v>600</v>
      </c>
      <c r="AH23" s="124">
        <f t="shared" si="6"/>
        <v>57978.132</v>
      </c>
      <c r="AI23" s="130" t="s">
        <v>218</v>
      </c>
      <c r="AJ23" s="73"/>
    </row>
    <row r="24" spans="1:39" ht="19.5" customHeight="1">
      <c r="A24" s="131">
        <v>278</v>
      </c>
      <c r="B24" s="116">
        <f t="shared" si="1"/>
        <v>52903.648</v>
      </c>
      <c r="C24" s="117" t="s">
        <v>215</v>
      </c>
      <c r="D24" s="118">
        <v>35.89</v>
      </c>
      <c r="E24" s="118">
        <f>D24</f>
        <v>35.89</v>
      </c>
      <c r="F24" s="119">
        <v>12</v>
      </c>
      <c r="G24" s="120">
        <f t="shared" si="4"/>
        <v>430.68</v>
      </c>
      <c r="H24" s="117">
        <v>0.054</v>
      </c>
      <c r="I24" s="121">
        <v>426</v>
      </c>
      <c r="J24" s="118">
        <f t="shared" si="7"/>
        <v>23.004</v>
      </c>
      <c r="K24" s="119">
        <v>12</v>
      </c>
      <c r="L24" s="120">
        <f t="shared" si="8"/>
        <v>276.048</v>
      </c>
      <c r="M24" s="118"/>
      <c r="N24" s="118"/>
      <c r="O24" s="122">
        <v>72.33</v>
      </c>
      <c r="P24" s="123">
        <v>10</v>
      </c>
      <c r="Q24" s="122">
        <f t="shared" si="5"/>
        <v>723.3</v>
      </c>
      <c r="R24" s="122">
        <f t="shared" si="0"/>
        <v>1430.028</v>
      </c>
      <c r="S24" s="122"/>
      <c r="T24" s="122"/>
      <c r="U24" s="124"/>
      <c r="V24" s="122">
        <v>3500</v>
      </c>
      <c r="W24" s="122">
        <f>1003.62+148</f>
        <v>1151.62</v>
      </c>
      <c r="X24" s="122">
        <v>6372</v>
      </c>
      <c r="Y24" s="124">
        <f t="shared" si="2"/>
        <v>12453.648000000001</v>
      </c>
      <c r="Z24" s="122">
        <v>20000</v>
      </c>
      <c r="AA24" s="122">
        <v>15000</v>
      </c>
      <c r="AB24" s="122">
        <v>250</v>
      </c>
      <c r="AC24" s="122">
        <v>3600</v>
      </c>
      <c r="AD24" s="122">
        <v>1000</v>
      </c>
      <c r="AE24" s="122"/>
      <c r="AF24" s="122"/>
      <c r="AG24" s="122">
        <v>600</v>
      </c>
      <c r="AH24" s="124">
        <f t="shared" si="6"/>
        <v>52903.648</v>
      </c>
      <c r="AI24" s="130" t="s">
        <v>218</v>
      </c>
      <c r="AM24" s="36"/>
    </row>
    <row r="25" spans="1:36" s="126" customFormat="1" ht="19.5" customHeight="1">
      <c r="A25" s="131">
        <v>317</v>
      </c>
      <c r="B25" s="116">
        <f t="shared" si="1"/>
        <v>59415.832</v>
      </c>
      <c r="C25" s="117" t="s">
        <v>215</v>
      </c>
      <c r="D25" s="118">
        <v>35.89</v>
      </c>
      <c r="E25" s="118">
        <f>D25</f>
        <v>35.89</v>
      </c>
      <c r="F25" s="119">
        <v>12</v>
      </c>
      <c r="G25" s="120">
        <f t="shared" si="4"/>
        <v>430.68</v>
      </c>
      <c r="H25" s="117">
        <v>0.054</v>
      </c>
      <c r="I25" s="121">
        <v>179</v>
      </c>
      <c r="J25" s="118">
        <f t="shared" si="7"/>
        <v>9.666</v>
      </c>
      <c r="K25" s="119">
        <v>12</v>
      </c>
      <c r="L25" s="120">
        <f t="shared" si="8"/>
        <v>115.992</v>
      </c>
      <c r="M25" s="118"/>
      <c r="N25" s="118"/>
      <c r="O25" s="122">
        <v>72.33</v>
      </c>
      <c r="P25" s="123">
        <v>10</v>
      </c>
      <c r="Q25" s="122">
        <f t="shared" si="5"/>
        <v>723.3</v>
      </c>
      <c r="R25" s="122">
        <f t="shared" si="0"/>
        <v>1269.972</v>
      </c>
      <c r="S25" s="122"/>
      <c r="T25" s="122"/>
      <c r="U25" s="124"/>
      <c r="V25" s="122">
        <v>8740</v>
      </c>
      <c r="W25" s="122">
        <f>688.86+148</f>
        <v>836.86</v>
      </c>
      <c r="X25" s="122">
        <v>3219</v>
      </c>
      <c r="Y25" s="124">
        <f t="shared" si="2"/>
        <v>14065.832</v>
      </c>
      <c r="Z25" s="122">
        <v>20000</v>
      </c>
      <c r="AA25" s="122">
        <v>15000</v>
      </c>
      <c r="AB25" s="122">
        <v>4850</v>
      </c>
      <c r="AC25" s="122">
        <v>3600</v>
      </c>
      <c r="AD25" s="122">
        <v>1300</v>
      </c>
      <c r="AE25" s="122"/>
      <c r="AF25" s="122"/>
      <c r="AG25" s="122">
        <v>600</v>
      </c>
      <c r="AH25" s="124">
        <f t="shared" si="6"/>
        <v>59415.832</v>
      </c>
      <c r="AI25" s="130" t="s">
        <v>218</v>
      </c>
      <c r="AJ25" s="73"/>
    </row>
    <row r="26" spans="1:36" s="126" customFormat="1" ht="19.5" customHeight="1">
      <c r="A26" s="131">
        <v>323</v>
      </c>
      <c r="B26" s="116">
        <f t="shared" si="1"/>
        <v>28730.620000000003</v>
      </c>
      <c r="C26" s="117" t="s">
        <v>215</v>
      </c>
      <c r="D26" s="118">
        <v>35.89</v>
      </c>
      <c r="E26" s="118">
        <f>D26</f>
        <v>35.89</v>
      </c>
      <c r="F26" s="119">
        <v>12</v>
      </c>
      <c r="G26" s="120">
        <f t="shared" si="4"/>
        <v>430.68</v>
      </c>
      <c r="H26" s="117">
        <v>0.054</v>
      </c>
      <c r="I26" s="121">
        <v>705</v>
      </c>
      <c r="J26" s="118">
        <f t="shared" si="7"/>
        <v>38.07</v>
      </c>
      <c r="K26" s="119">
        <v>12</v>
      </c>
      <c r="L26" s="120">
        <f t="shared" si="8"/>
        <v>456.84000000000003</v>
      </c>
      <c r="M26" s="118">
        <v>0.5</v>
      </c>
      <c r="N26" s="118">
        <f>M26*12</f>
        <v>6</v>
      </c>
      <c r="O26" s="122">
        <v>100</v>
      </c>
      <c r="P26" s="123">
        <v>10</v>
      </c>
      <c r="Q26" s="122">
        <f t="shared" si="5"/>
        <v>1000</v>
      </c>
      <c r="R26" s="122">
        <f t="shared" si="0"/>
        <v>1893.52</v>
      </c>
      <c r="S26" s="122"/>
      <c r="T26" s="122"/>
      <c r="U26" s="124"/>
      <c r="V26" s="122">
        <v>8740</v>
      </c>
      <c r="W26" s="122">
        <f>1277.1+148</f>
        <v>1425.1</v>
      </c>
      <c r="X26" s="122">
        <v>6372</v>
      </c>
      <c r="Y26" s="124">
        <f t="shared" si="2"/>
        <v>18430.620000000003</v>
      </c>
      <c r="Z26" s="122">
        <v>8000</v>
      </c>
      <c r="AA26" s="122"/>
      <c r="AB26" s="122">
        <v>700</v>
      </c>
      <c r="AC26" s="122"/>
      <c r="AD26" s="122">
        <v>1000</v>
      </c>
      <c r="AE26" s="122"/>
      <c r="AF26" s="122"/>
      <c r="AG26" s="122">
        <v>600</v>
      </c>
      <c r="AH26" s="124">
        <f t="shared" si="6"/>
        <v>28730.620000000003</v>
      </c>
      <c r="AI26" s="130" t="s">
        <v>220</v>
      </c>
      <c r="AJ26" s="73"/>
    </row>
    <row r="27" spans="1:36" s="126" customFormat="1" ht="30" customHeight="1">
      <c r="A27" s="131">
        <v>334</v>
      </c>
      <c r="B27" s="116">
        <f t="shared" si="1"/>
        <v>57583.216</v>
      </c>
      <c r="C27" s="117" t="s">
        <v>217</v>
      </c>
      <c r="D27" s="118">
        <v>35.89</v>
      </c>
      <c r="E27" s="118">
        <f>D27*2</f>
        <v>71.78</v>
      </c>
      <c r="F27" s="119">
        <v>12</v>
      </c>
      <c r="G27" s="120">
        <f t="shared" si="4"/>
        <v>861.36</v>
      </c>
      <c r="H27" s="117">
        <v>0.054</v>
      </c>
      <c r="I27" s="121">
        <v>472</v>
      </c>
      <c r="J27" s="118">
        <f t="shared" si="7"/>
        <v>25.488</v>
      </c>
      <c r="K27" s="119">
        <v>12</v>
      </c>
      <c r="L27" s="120">
        <f t="shared" si="8"/>
        <v>305.856</v>
      </c>
      <c r="M27" s="118" t="s">
        <v>226</v>
      </c>
      <c r="N27" s="118">
        <f>1*12</f>
        <v>12</v>
      </c>
      <c r="O27" s="122">
        <v>112</v>
      </c>
      <c r="P27" s="123">
        <v>10</v>
      </c>
      <c r="Q27" s="122">
        <f t="shared" si="5"/>
        <v>1120</v>
      </c>
      <c r="R27" s="122">
        <f t="shared" si="0"/>
        <v>2299.216</v>
      </c>
      <c r="S27" s="122"/>
      <c r="T27" s="122"/>
      <c r="U27" s="124"/>
      <c r="V27" s="122">
        <v>8740</v>
      </c>
      <c r="W27" s="122">
        <f>774+148</f>
        <v>922</v>
      </c>
      <c r="X27" s="122">
        <v>6372</v>
      </c>
      <c r="Y27" s="124">
        <f t="shared" si="2"/>
        <v>18333.216</v>
      </c>
      <c r="Z27" s="122">
        <v>20000</v>
      </c>
      <c r="AA27" s="122">
        <v>15000</v>
      </c>
      <c r="AB27" s="122">
        <v>2150</v>
      </c>
      <c r="AC27" s="122"/>
      <c r="AD27" s="122">
        <v>1500</v>
      </c>
      <c r="AE27" s="122"/>
      <c r="AF27" s="122"/>
      <c r="AG27" s="122">
        <v>600</v>
      </c>
      <c r="AH27" s="124">
        <f t="shared" si="6"/>
        <v>57583.216</v>
      </c>
      <c r="AI27" s="130" t="s">
        <v>227</v>
      </c>
      <c r="AJ27" s="73"/>
    </row>
    <row r="28" spans="1:36" s="126" customFormat="1" ht="19.5" customHeight="1">
      <c r="A28" s="131">
        <v>348</v>
      </c>
      <c r="B28" s="116">
        <f t="shared" si="1"/>
        <v>59379.676</v>
      </c>
      <c r="C28" s="117" t="s">
        <v>215</v>
      </c>
      <c r="D28" s="118">
        <v>35.89</v>
      </c>
      <c r="E28" s="118">
        <f aca="true" t="shared" si="9" ref="E28:E34">D28</f>
        <v>35.89</v>
      </c>
      <c r="F28" s="119">
        <v>12</v>
      </c>
      <c r="G28" s="120">
        <f t="shared" si="4"/>
        <v>430.68</v>
      </c>
      <c r="H28" s="117">
        <v>0.054</v>
      </c>
      <c r="I28" s="121">
        <v>452</v>
      </c>
      <c r="J28" s="118">
        <f t="shared" si="7"/>
        <v>24.408</v>
      </c>
      <c r="K28" s="119">
        <v>12</v>
      </c>
      <c r="L28" s="120">
        <f t="shared" si="8"/>
        <v>292.896</v>
      </c>
      <c r="M28" s="118">
        <v>0.5</v>
      </c>
      <c r="N28" s="118">
        <f>M28*12</f>
        <v>6</v>
      </c>
      <c r="O28" s="122">
        <v>100</v>
      </c>
      <c r="P28" s="123">
        <v>10</v>
      </c>
      <c r="Q28" s="122">
        <f t="shared" si="5"/>
        <v>1000</v>
      </c>
      <c r="R28" s="122">
        <f t="shared" si="0"/>
        <v>1729.576</v>
      </c>
      <c r="S28" s="122"/>
      <c r="T28" s="122"/>
      <c r="U28" s="124"/>
      <c r="V28" s="122">
        <v>8740</v>
      </c>
      <c r="W28" s="122">
        <f>890.1+148</f>
        <v>1038.1</v>
      </c>
      <c r="X28" s="122">
        <v>6372</v>
      </c>
      <c r="Y28" s="124">
        <f t="shared" si="2"/>
        <v>17879.676</v>
      </c>
      <c r="Z28" s="122">
        <v>20000</v>
      </c>
      <c r="AA28" s="122">
        <v>15000</v>
      </c>
      <c r="AB28" s="122">
        <v>2600</v>
      </c>
      <c r="AC28" s="122">
        <v>1800</v>
      </c>
      <c r="AD28" s="122">
        <v>1500</v>
      </c>
      <c r="AE28" s="122"/>
      <c r="AF28" s="122"/>
      <c r="AG28" s="122">
        <v>600</v>
      </c>
      <c r="AH28" s="124">
        <f t="shared" si="6"/>
        <v>59379.676</v>
      </c>
      <c r="AI28" s="130" t="s">
        <v>220</v>
      </c>
      <c r="AJ28" s="73"/>
    </row>
    <row r="29" spans="1:36" s="126" customFormat="1" ht="19.5" customHeight="1">
      <c r="A29" s="131">
        <v>350</v>
      </c>
      <c r="B29" s="116">
        <f t="shared" si="1"/>
        <v>62923.46</v>
      </c>
      <c r="C29" s="117" t="s">
        <v>215</v>
      </c>
      <c r="D29" s="118">
        <v>39.91</v>
      </c>
      <c r="E29" s="118">
        <f t="shared" si="9"/>
        <v>39.91</v>
      </c>
      <c r="F29" s="119">
        <v>12</v>
      </c>
      <c r="G29" s="120">
        <f t="shared" si="4"/>
        <v>478.91999999999996</v>
      </c>
      <c r="H29" s="117"/>
      <c r="I29" s="121"/>
      <c r="J29" s="118"/>
      <c r="K29" s="119"/>
      <c r="L29" s="120"/>
      <c r="M29" s="118"/>
      <c r="N29" s="118"/>
      <c r="O29" s="122">
        <v>72.33</v>
      </c>
      <c r="P29" s="123">
        <v>12</v>
      </c>
      <c r="Q29" s="122">
        <f t="shared" si="5"/>
        <v>867.96</v>
      </c>
      <c r="R29" s="122">
        <f t="shared" si="0"/>
        <v>1346.88</v>
      </c>
      <c r="S29" s="122"/>
      <c r="T29" s="122"/>
      <c r="U29" s="124"/>
      <c r="V29" s="122">
        <v>8740</v>
      </c>
      <c r="W29" s="122">
        <f>816.58+148</f>
        <v>964.58</v>
      </c>
      <c r="X29" s="122">
        <v>6372</v>
      </c>
      <c r="Y29" s="124">
        <f t="shared" si="2"/>
        <v>17423.46</v>
      </c>
      <c r="Z29" s="122">
        <v>20000</v>
      </c>
      <c r="AA29" s="122">
        <v>15000</v>
      </c>
      <c r="AB29" s="122">
        <v>3000</v>
      </c>
      <c r="AC29" s="122">
        <v>5400</v>
      </c>
      <c r="AD29" s="122">
        <v>1500</v>
      </c>
      <c r="AE29" s="122"/>
      <c r="AF29" s="122"/>
      <c r="AG29" s="122">
        <v>600</v>
      </c>
      <c r="AH29" s="124">
        <f t="shared" si="6"/>
        <v>62923.46</v>
      </c>
      <c r="AI29" s="130" t="s">
        <v>228</v>
      </c>
      <c r="AJ29" s="73"/>
    </row>
    <row r="30" spans="1:39" ht="15.75" customHeight="1">
      <c r="A30" s="131">
        <v>379</v>
      </c>
      <c r="B30" s="116">
        <f t="shared" si="1"/>
        <v>1954.77</v>
      </c>
      <c r="C30" s="117" t="s">
        <v>215</v>
      </c>
      <c r="D30" s="118">
        <v>25</v>
      </c>
      <c r="E30" s="118">
        <f t="shared" si="9"/>
        <v>25</v>
      </c>
      <c r="F30" s="119">
        <v>12</v>
      </c>
      <c r="G30" s="120">
        <f t="shared" si="4"/>
        <v>300</v>
      </c>
      <c r="H30" s="117"/>
      <c r="I30" s="121"/>
      <c r="J30" s="118"/>
      <c r="K30" s="119"/>
      <c r="L30" s="120"/>
      <c r="M30" s="118"/>
      <c r="N30" s="118"/>
      <c r="O30" s="122"/>
      <c r="P30" s="123"/>
      <c r="Q30" s="122"/>
      <c r="R30" s="122">
        <f t="shared" si="0"/>
        <v>300</v>
      </c>
      <c r="S30" s="122"/>
      <c r="T30" s="122"/>
      <c r="U30" s="124"/>
      <c r="V30" s="122"/>
      <c r="W30" s="122">
        <v>532.77</v>
      </c>
      <c r="X30" s="122">
        <v>1122</v>
      </c>
      <c r="Y30" s="124">
        <f t="shared" si="2"/>
        <v>1954.77</v>
      </c>
      <c r="Z30" s="122"/>
      <c r="AA30" s="122"/>
      <c r="AB30" s="122"/>
      <c r="AC30" s="122"/>
      <c r="AD30" s="122"/>
      <c r="AE30" s="122"/>
      <c r="AF30" s="122"/>
      <c r="AG30" s="122"/>
      <c r="AH30" s="124">
        <f t="shared" si="6"/>
        <v>1954.77</v>
      </c>
      <c r="AI30" s="130" t="s">
        <v>229</v>
      </c>
      <c r="AM30" s="36"/>
    </row>
    <row r="31" spans="1:36" s="126" customFormat="1" ht="19.5" customHeight="1">
      <c r="A31" s="131">
        <v>393</v>
      </c>
      <c r="B31" s="116">
        <f t="shared" si="1"/>
        <v>33498.264</v>
      </c>
      <c r="C31" s="117" t="s">
        <v>215</v>
      </c>
      <c r="D31" s="118">
        <v>35.89</v>
      </c>
      <c r="E31" s="118">
        <f t="shared" si="9"/>
        <v>35.89</v>
      </c>
      <c r="F31" s="119">
        <v>12</v>
      </c>
      <c r="G31" s="120">
        <f t="shared" si="4"/>
        <v>430.68</v>
      </c>
      <c r="H31" s="117">
        <v>0.054</v>
      </c>
      <c r="I31" s="121">
        <v>623</v>
      </c>
      <c r="J31" s="118">
        <f>H31*I31</f>
        <v>33.642</v>
      </c>
      <c r="K31" s="119">
        <v>12</v>
      </c>
      <c r="L31" s="120">
        <f t="shared" si="8"/>
        <v>403.70400000000006</v>
      </c>
      <c r="M31" s="118"/>
      <c r="N31" s="118"/>
      <c r="O31" s="122">
        <v>72.33</v>
      </c>
      <c r="P31" s="123">
        <v>12</v>
      </c>
      <c r="Q31" s="122">
        <f t="shared" si="5"/>
        <v>867.96</v>
      </c>
      <c r="R31" s="122">
        <f t="shared" si="0"/>
        <v>1702.344</v>
      </c>
      <c r="S31" s="122"/>
      <c r="T31" s="122"/>
      <c r="U31" s="124"/>
      <c r="V31" s="122">
        <v>8740</v>
      </c>
      <c r="W31" s="122">
        <f>488.92+148</f>
        <v>636.9200000000001</v>
      </c>
      <c r="X31" s="122">
        <v>3219</v>
      </c>
      <c r="Y31" s="124">
        <f t="shared" si="2"/>
        <v>14298.264000000001</v>
      </c>
      <c r="Z31" s="122">
        <v>8000</v>
      </c>
      <c r="AA31" s="122"/>
      <c r="AB31" s="122">
        <v>3700</v>
      </c>
      <c r="AC31" s="122">
        <v>5400</v>
      </c>
      <c r="AD31" s="122">
        <v>1500</v>
      </c>
      <c r="AE31" s="122"/>
      <c r="AF31" s="122"/>
      <c r="AG31" s="122">
        <v>600</v>
      </c>
      <c r="AH31" s="124">
        <f t="shared" si="6"/>
        <v>33498.264</v>
      </c>
      <c r="AI31" s="130" t="s">
        <v>218</v>
      </c>
      <c r="AJ31" s="73"/>
    </row>
    <row r="32" spans="1:36" s="126" customFormat="1" ht="19.5" customHeight="1">
      <c r="A32" s="131">
        <v>400</v>
      </c>
      <c r="B32" s="116">
        <f t="shared" si="1"/>
        <v>60541.492</v>
      </c>
      <c r="C32" s="117" t="s">
        <v>215</v>
      </c>
      <c r="D32" s="118">
        <v>35.89</v>
      </c>
      <c r="E32" s="118">
        <f t="shared" si="9"/>
        <v>35.89</v>
      </c>
      <c r="F32" s="119">
        <v>12</v>
      </c>
      <c r="G32" s="120">
        <f t="shared" si="4"/>
        <v>430.68</v>
      </c>
      <c r="H32" s="117">
        <v>0.054</v>
      </c>
      <c r="I32" s="121">
        <v>644</v>
      </c>
      <c r="J32" s="118">
        <f>H32*I32</f>
        <v>34.775999999999996</v>
      </c>
      <c r="K32" s="119">
        <v>12</v>
      </c>
      <c r="L32" s="120">
        <f t="shared" si="8"/>
        <v>417.31199999999995</v>
      </c>
      <c r="M32" s="118"/>
      <c r="N32" s="118"/>
      <c r="O32" s="122">
        <v>72.33</v>
      </c>
      <c r="P32" s="123">
        <v>12</v>
      </c>
      <c r="Q32" s="122">
        <f t="shared" si="5"/>
        <v>867.96</v>
      </c>
      <c r="R32" s="122">
        <f t="shared" si="0"/>
        <v>1715.952</v>
      </c>
      <c r="S32" s="122"/>
      <c r="T32" s="122"/>
      <c r="U32" s="124"/>
      <c r="V32" s="122">
        <v>8740</v>
      </c>
      <c r="W32" s="122">
        <f>1065.54+148</f>
        <v>1213.54</v>
      </c>
      <c r="X32" s="122">
        <v>6372</v>
      </c>
      <c r="Y32" s="124">
        <f t="shared" si="2"/>
        <v>18041.492</v>
      </c>
      <c r="Z32" s="122">
        <v>20000</v>
      </c>
      <c r="AA32" s="122">
        <v>15000</v>
      </c>
      <c r="AB32" s="122">
        <v>500</v>
      </c>
      <c r="AC32" s="122">
        <v>5400</v>
      </c>
      <c r="AD32" s="122">
        <v>1000</v>
      </c>
      <c r="AE32" s="122"/>
      <c r="AF32" s="122"/>
      <c r="AG32" s="122">
        <v>600</v>
      </c>
      <c r="AH32" s="124">
        <f t="shared" si="6"/>
        <v>60541.492</v>
      </c>
      <c r="AI32" s="130" t="s">
        <v>218</v>
      </c>
      <c r="AJ32" s="73"/>
    </row>
    <row r="33" spans="1:36" s="126" customFormat="1" ht="19.5" customHeight="1">
      <c r="A33" s="131">
        <v>401</v>
      </c>
      <c r="B33" s="116">
        <f t="shared" si="1"/>
        <v>59646.72</v>
      </c>
      <c r="C33" s="117" t="s">
        <v>215</v>
      </c>
      <c r="D33" s="118">
        <v>35.89</v>
      </c>
      <c r="E33" s="118">
        <f t="shared" si="9"/>
        <v>35.89</v>
      </c>
      <c r="F33" s="119">
        <v>12</v>
      </c>
      <c r="G33" s="120">
        <f t="shared" si="4"/>
        <v>430.68</v>
      </c>
      <c r="H33" s="117">
        <v>0.054</v>
      </c>
      <c r="I33" s="121">
        <v>890</v>
      </c>
      <c r="J33" s="118">
        <f>H33*I33</f>
        <v>48.06</v>
      </c>
      <c r="K33" s="119">
        <v>12</v>
      </c>
      <c r="L33" s="120">
        <f t="shared" si="8"/>
        <v>576.72</v>
      </c>
      <c r="M33" s="118"/>
      <c r="N33" s="118"/>
      <c r="O33" s="122">
        <v>72.33</v>
      </c>
      <c r="P33" s="123">
        <v>12</v>
      </c>
      <c r="Q33" s="122">
        <f t="shared" si="5"/>
        <v>867.96</v>
      </c>
      <c r="R33" s="122">
        <f t="shared" si="0"/>
        <v>1875.3600000000001</v>
      </c>
      <c r="S33" s="122"/>
      <c r="T33" s="122"/>
      <c r="U33" s="124"/>
      <c r="V33" s="122">
        <v>8740</v>
      </c>
      <c r="W33" s="122">
        <f>1011.36+148</f>
        <v>1159.3600000000001</v>
      </c>
      <c r="X33" s="122">
        <v>6372</v>
      </c>
      <c r="Y33" s="124">
        <f t="shared" si="2"/>
        <v>18146.72</v>
      </c>
      <c r="Z33" s="122">
        <v>20000</v>
      </c>
      <c r="AA33" s="122">
        <v>15000</v>
      </c>
      <c r="AB33" s="122">
        <v>500</v>
      </c>
      <c r="AC33" s="122">
        <v>5400</v>
      </c>
      <c r="AD33" s="122"/>
      <c r="AE33" s="122"/>
      <c r="AF33" s="122"/>
      <c r="AG33" s="122">
        <v>600</v>
      </c>
      <c r="AH33" s="124">
        <f t="shared" si="6"/>
        <v>59646.72</v>
      </c>
      <c r="AI33" s="130" t="s">
        <v>218</v>
      </c>
      <c r="AJ33" s="73"/>
    </row>
    <row r="34" spans="1:39" s="126" customFormat="1" ht="19.5" customHeight="1">
      <c r="A34" s="137">
        <v>402</v>
      </c>
      <c r="B34" s="116">
        <f t="shared" si="1"/>
        <v>33182.623999999996</v>
      </c>
      <c r="C34" s="117" t="s">
        <v>215</v>
      </c>
      <c r="D34" s="118">
        <v>35.89</v>
      </c>
      <c r="E34" s="118">
        <f t="shared" si="9"/>
        <v>35.89</v>
      </c>
      <c r="F34" s="119">
        <v>12</v>
      </c>
      <c r="G34" s="120">
        <f t="shared" si="4"/>
        <v>430.68</v>
      </c>
      <c r="H34" s="117">
        <v>0.054</v>
      </c>
      <c r="I34" s="121">
        <v>1033</v>
      </c>
      <c r="J34" s="118">
        <f>H34*I34</f>
        <v>55.782</v>
      </c>
      <c r="K34" s="119">
        <v>12</v>
      </c>
      <c r="L34" s="120">
        <f t="shared" si="8"/>
        <v>669.384</v>
      </c>
      <c r="M34" s="118"/>
      <c r="N34" s="118"/>
      <c r="O34" s="122">
        <v>72.33</v>
      </c>
      <c r="P34" s="123">
        <v>12</v>
      </c>
      <c r="Q34" s="122">
        <f>O34*P34</f>
        <v>867.96</v>
      </c>
      <c r="R34" s="122">
        <f t="shared" si="0"/>
        <v>1968.0240000000001</v>
      </c>
      <c r="S34" s="122"/>
      <c r="T34" s="122"/>
      <c r="U34" s="122"/>
      <c r="V34" s="122">
        <v>8740</v>
      </c>
      <c r="W34" s="122">
        <f>954.6+148</f>
        <v>1102.6</v>
      </c>
      <c r="X34" s="122">
        <v>6372</v>
      </c>
      <c r="Y34" s="124">
        <f t="shared" si="2"/>
        <v>18182.624</v>
      </c>
      <c r="Z34" s="122">
        <v>8000</v>
      </c>
      <c r="AA34" s="122"/>
      <c r="AB34" s="122"/>
      <c r="AC34" s="122">
        <v>5400</v>
      </c>
      <c r="AD34" s="122">
        <v>1000</v>
      </c>
      <c r="AE34" s="122"/>
      <c r="AF34" s="122"/>
      <c r="AG34" s="122">
        <v>600</v>
      </c>
      <c r="AH34" s="124">
        <f t="shared" si="6"/>
        <v>33182.623999999996</v>
      </c>
      <c r="AI34" s="130" t="s">
        <v>228</v>
      </c>
      <c r="AJ34" s="73"/>
      <c r="AM34" s="36"/>
    </row>
    <row r="35" spans="1:39" ht="19.5" customHeight="1">
      <c r="A35" s="138" t="s">
        <v>48</v>
      </c>
      <c r="B35" s="116">
        <f>SUM(B11:B34)</f>
        <v>1148984.604</v>
      </c>
      <c r="C35" s="139"/>
      <c r="D35" s="139"/>
      <c r="E35" s="132"/>
      <c r="F35" s="132"/>
      <c r="G35" s="118">
        <f>SUM(G11:G34)</f>
        <v>11538.360000000002</v>
      </c>
      <c r="H35" s="139"/>
      <c r="I35" s="140"/>
      <c r="J35" s="132"/>
      <c r="K35" s="140"/>
      <c r="L35" s="118">
        <f>SUM(L11:L34)</f>
        <v>6175.494</v>
      </c>
      <c r="M35" s="118"/>
      <c r="N35" s="118">
        <f>SUM(N12:N34)</f>
        <v>36</v>
      </c>
      <c r="O35" s="118"/>
      <c r="P35" s="118"/>
      <c r="Q35" s="118">
        <f>SUM(Q11:Q34)</f>
        <v>20652.799999999996</v>
      </c>
      <c r="R35" s="118">
        <f>SUM(R11:R34)</f>
        <v>38402.653999999995</v>
      </c>
      <c r="S35" s="132"/>
      <c r="T35" s="132"/>
      <c r="U35" s="118">
        <f>U11</f>
        <v>1200</v>
      </c>
      <c r="V35" s="122">
        <f>SUM(V11:V34)</f>
        <v>185300</v>
      </c>
      <c r="W35" s="122">
        <f>SUM(W11:W34)</f>
        <v>24056.950000000004</v>
      </c>
      <c r="X35" s="122">
        <f>SUM(X11:X34)</f>
        <v>131715</v>
      </c>
      <c r="Y35" s="124">
        <f>SUM(Y11:Y34)</f>
        <v>380674.6040000001</v>
      </c>
      <c r="Z35" s="124">
        <f aca="true" t="shared" si="10" ref="Z35:AG35">SUM(Z11:Z34)</f>
        <v>376000</v>
      </c>
      <c r="AA35" s="124">
        <f t="shared" si="10"/>
        <v>225000</v>
      </c>
      <c r="AB35" s="124">
        <f t="shared" si="10"/>
        <v>44710</v>
      </c>
      <c r="AC35" s="124">
        <f t="shared" si="10"/>
        <v>68400</v>
      </c>
      <c r="AD35" s="124">
        <f t="shared" si="10"/>
        <v>31850</v>
      </c>
      <c r="AE35" s="124">
        <f t="shared" si="10"/>
        <v>1950</v>
      </c>
      <c r="AF35" s="124">
        <f t="shared" si="10"/>
        <v>7000</v>
      </c>
      <c r="AG35" s="124">
        <f t="shared" si="10"/>
        <v>13400</v>
      </c>
      <c r="AH35" s="124">
        <f>SUM(AH11:AH34)</f>
        <v>1148984.604</v>
      </c>
      <c r="AI35" s="141"/>
      <c r="AM35" s="36"/>
    </row>
    <row r="36" spans="1:39" ht="19.5" customHeight="1">
      <c r="A36" s="142"/>
      <c r="B36" s="143"/>
      <c r="C36" s="144"/>
      <c r="D36" s="144"/>
      <c r="E36" s="145"/>
      <c r="F36" s="145"/>
      <c r="G36" s="145"/>
      <c r="H36" s="144"/>
      <c r="I36" s="146"/>
      <c r="J36" s="145"/>
      <c r="K36" s="146"/>
      <c r="L36" s="145"/>
      <c r="M36" s="145"/>
      <c r="N36" s="147"/>
      <c r="O36" s="147"/>
      <c r="P36" s="147"/>
      <c r="Q36" s="147"/>
      <c r="R36" s="145"/>
      <c r="S36" s="145"/>
      <c r="T36" s="145"/>
      <c r="U36" s="145"/>
      <c r="V36" s="147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8"/>
      <c r="AM36" s="36"/>
    </row>
    <row r="37" spans="1:39" ht="24" customHeight="1">
      <c r="A37" s="151" t="s">
        <v>230</v>
      </c>
      <c r="B37" s="152"/>
      <c r="C37" s="152"/>
      <c r="D37" s="153"/>
      <c r="E37" s="153"/>
      <c r="F37" s="149"/>
      <c r="H37" s="154" t="s">
        <v>231</v>
      </c>
      <c r="I37" s="155"/>
      <c r="L37" s="149"/>
      <c r="M37" s="149"/>
      <c r="N37" s="149"/>
      <c r="O37" s="149"/>
      <c r="P37" s="149"/>
      <c r="Q37" s="149"/>
      <c r="R37" s="149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J37" s="150"/>
      <c r="AM37" s="36"/>
    </row>
    <row r="38" spans="15:39" ht="33" customHeight="1">
      <c r="O38" s="36"/>
      <c r="P38" s="36"/>
      <c r="Q38" s="36"/>
      <c r="R38" s="36"/>
      <c r="S38" s="36"/>
      <c r="T38" s="36"/>
      <c r="U38" s="36"/>
      <c r="V38" s="36"/>
      <c r="X38" s="155"/>
      <c r="Y38" s="155"/>
      <c r="Z38" s="154"/>
      <c r="AA38" s="154"/>
      <c r="AB38" s="155"/>
      <c r="AC38" s="155"/>
      <c r="AD38" s="155"/>
      <c r="AE38" s="155"/>
      <c r="AF38" s="155"/>
      <c r="AG38" s="155"/>
      <c r="AH38" s="150"/>
      <c r="AM38" s="36"/>
    </row>
    <row r="39" spans="23:39" ht="12.75">
      <c r="W39" s="73"/>
      <c r="Z39" s="73"/>
      <c r="AA39" s="73"/>
      <c r="AB39" s="73"/>
      <c r="AD39" s="73"/>
      <c r="AE39" s="73"/>
      <c r="AF39" s="73"/>
      <c r="AG39" s="73"/>
      <c r="AM39" s="36"/>
    </row>
    <row r="40" spans="23:39" ht="12.75">
      <c r="W40" s="73"/>
      <c r="Z40" s="73"/>
      <c r="AA40" s="73"/>
      <c r="AB40" s="73"/>
      <c r="AD40" s="73"/>
      <c r="AE40" s="73"/>
      <c r="AF40" s="73"/>
      <c r="AG40" s="73"/>
      <c r="AM40" s="36"/>
    </row>
    <row r="41" spans="36:39" ht="12.75">
      <c r="AJ41" s="156"/>
      <c r="AM41" s="36"/>
    </row>
    <row r="42" spans="36:39" ht="12.75">
      <c r="AJ42" s="156"/>
      <c r="AM42" s="36"/>
    </row>
    <row r="43" spans="36:39" ht="12.75">
      <c r="AJ43" s="156"/>
      <c r="AM43" s="36"/>
    </row>
    <row r="44" spans="36:39" ht="12.75">
      <c r="AJ44" s="156"/>
      <c r="AM44" s="36"/>
    </row>
    <row r="45" spans="36:39" ht="12.75">
      <c r="AJ45" s="156"/>
      <c r="AM45" s="36"/>
    </row>
    <row r="46" spans="36:39" ht="12.75">
      <c r="AJ46" s="156"/>
      <c r="AM46" s="36"/>
    </row>
    <row r="47" spans="36:39" ht="12.75">
      <c r="AJ47" s="156"/>
      <c r="AM47" s="36"/>
    </row>
    <row r="48" spans="36:39" ht="12.75">
      <c r="AJ48" s="156"/>
      <c r="AM48" s="36"/>
    </row>
    <row r="49" spans="36:39" ht="12.75">
      <c r="AJ49" s="156"/>
      <c r="AM49" s="36"/>
    </row>
    <row r="50" spans="36:39" ht="12.75">
      <c r="AJ50" s="156"/>
      <c r="AM50" s="36"/>
    </row>
    <row r="51" spans="36:39" ht="12.75">
      <c r="AJ51" s="156"/>
      <c r="AM51" s="36"/>
    </row>
    <row r="52" spans="37:39" ht="12.75">
      <c r="AK52" s="68"/>
      <c r="AM52" s="36"/>
    </row>
    <row r="53" spans="37:39" ht="12.75">
      <c r="AK53" s="68"/>
      <c r="AM53" s="36"/>
    </row>
    <row r="54" spans="37:39" ht="12.75">
      <c r="AK54" s="68"/>
      <c r="AM54" s="36"/>
    </row>
    <row r="55" spans="37:39" ht="12.75">
      <c r="AK55" s="68"/>
      <c r="AM55" s="36"/>
    </row>
    <row r="56" spans="37:39" ht="12.75">
      <c r="AK56" s="68"/>
      <c r="AM56" s="36"/>
    </row>
    <row r="57" spans="37:39" ht="12.75">
      <c r="AK57" s="68"/>
      <c r="AM57" s="36"/>
    </row>
    <row r="58" spans="37:39" ht="12.75">
      <c r="AK58" s="68"/>
      <c r="AM58" s="36"/>
    </row>
    <row r="59" spans="37:39" ht="12.75">
      <c r="AK59" s="68"/>
      <c r="AM59" s="36"/>
    </row>
    <row r="60" spans="37:39" ht="12.75">
      <c r="AK60" s="68"/>
      <c r="AM60" s="36"/>
    </row>
    <row r="61" spans="37:39" ht="12.75">
      <c r="AK61" s="68"/>
      <c r="AM61" s="36"/>
    </row>
    <row r="62" spans="37:39" ht="12.75">
      <c r="AK62" s="68"/>
      <c r="AM62" s="36"/>
    </row>
    <row r="63" spans="37:39" ht="12.75">
      <c r="AK63" s="68"/>
      <c r="AM63" s="36"/>
    </row>
    <row r="64" spans="37:39" ht="12.75">
      <c r="AK64" s="68"/>
      <c r="AM64" s="36"/>
    </row>
    <row r="65" spans="37:39" ht="12.75">
      <c r="AK65" s="68"/>
      <c r="AM65" s="36"/>
    </row>
    <row r="66" spans="37:39" ht="12.75">
      <c r="AK66" s="68"/>
      <c r="AM66" s="36"/>
    </row>
    <row r="67" spans="37:39" ht="12.75">
      <c r="AK67" s="68"/>
      <c r="AM67" s="36"/>
    </row>
    <row r="68" spans="37:39" ht="12.75">
      <c r="AK68" s="68"/>
      <c r="AM68" s="36"/>
    </row>
    <row r="69" spans="37:39" ht="12.75">
      <c r="AK69" s="68"/>
      <c r="AM69" s="36"/>
    </row>
    <row r="70" spans="37:39" ht="12.75">
      <c r="AK70" s="68"/>
      <c r="AM70" s="36"/>
    </row>
    <row r="71" spans="36:39" ht="12.75">
      <c r="AJ71" s="156"/>
      <c r="AM71" s="36"/>
    </row>
    <row r="72" spans="36:39" ht="12.75">
      <c r="AJ72" s="156"/>
      <c r="AM72" s="36"/>
    </row>
    <row r="73" spans="36:39" ht="12.75">
      <c r="AJ73" s="156"/>
      <c r="AM73" s="36"/>
    </row>
    <row r="74" spans="36:39" ht="12.75">
      <c r="AJ74" s="156"/>
      <c r="AM74" s="36"/>
    </row>
    <row r="75" spans="36:39" ht="12.75">
      <c r="AJ75" s="156"/>
      <c r="AM75" s="36"/>
    </row>
    <row r="76" spans="36:39" ht="12.75">
      <c r="AJ76" s="156"/>
      <c r="AM76" s="36"/>
    </row>
    <row r="77" spans="36:39" ht="12.75">
      <c r="AJ77" s="156"/>
      <c r="AM77" s="36"/>
    </row>
    <row r="78" spans="36:39" ht="12.75">
      <c r="AJ78" s="156"/>
      <c r="AM78" s="36"/>
    </row>
    <row r="79" spans="36:39" ht="12.75">
      <c r="AJ79" s="156"/>
      <c r="AM79" s="36"/>
    </row>
    <row r="80" spans="36:39" ht="12.75">
      <c r="AJ80" s="156"/>
      <c r="AM80" s="36"/>
    </row>
    <row r="81" spans="36:39" ht="12.75">
      <c r="AJ81" s="156"/>
      <c r="AM81" s="36"/>
    </row>
    <row r="82" spans="36:39" ht="12.75">
      <c r="AJ82" s="156"/>
      <c r="AM82" s="36"/>
    </row>
    <row r="83" spans="36:39" ht="12.75">
      <c r="AJ83" s="156"/>
      <c r="AM83" s="36"/>
    </row>
    <row r="84" spans="36:39" ht="12.75">
      <c r="AJ84" s="156"/>
      <c r="AM84" s="36"/>
    </row>
    <row r="85" spans="36:39" ht="12.75">
      <c r="AJ85" s="156"/>
      <c r="AM85" s="36"/>
    </row>
    <row r="86" spans="36:39" ht="12.75">
      <c r="AJ86" s="156"/>
      <c r="AM86" s="36"/>
    </row>
    <row r="87" ht="12.75">
      <c r="AJ87" s="156"/>
    </row>
  </sheetData>
  <mergeCells count="38">
    <mergeCell ref="P9:P10"/>
    <mergeCell ref="Q9:Q10"/>
    <mergeCell ref="R9:R10"/>
    <mergeCell ref="S9:U9"/>
    <mergeCell ref="L9:L10"/>
    <mergeCell ref="M9:M10"/>
    <mergeCell ref="N9:N10"/>
    <mergeCell ref="O9:O10"/>
    <mergeCell ref="AH8:AH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F7:AF10"/>
    <mergeCell ref="AG7:AG10"/>
    <mergeCell ref="AI7:AI10"/>
    <mergeCell ref="C8:R8"/>
    <mergeCell ref="V8:V10"/>
    <mergeCell ref="Z8:Z10"/>
    <mergeCell ref="AB8:AB10"/>
    <mergeCell ref="AC8:AC10"/>
    <mergeCell ref="AD8:AD10"/>
    <mergeCell ref="AE8:AE10"/>
    <mergeCell ref="A1:B1"/>
    <mergeCell ref="A3:AM3"/>
    <mergeCell ref="A5:AM5"/>
    <mergeCell ref="A7:A10"/>
    <mergeCell ref="B7:B10"/>
    <mergeCell ref="C7:U7"/>
    <mergeCell ref="W7:W10"/>
    <mergeCell ref="X7:X10"/>
    <mergeCell ref="Y7:Y10"/>
    <mergeCell ref="AA7:AA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P22" sqref="P22"/>
    </sheetView>
  </sheetViews>
  <sheetFormatPr defaultColWidth="9.125" defaultRowHeight="12.75"/>
  <cols>
    <col min="1" max="1" width="9.125" style="38" customWidth="1"/>
    <col min="2" max="2" width="14.75390625" style="38" customWidth="1"/>
    <col min="3" max="3" width="13.125" style="38" customWidth="1"/>
    <col min="4" max="5" width="9.125" style="38" customWidth="1"/>
    <col min="6" max="6" width="15.00390625" style="38" customWidth="1"/>
    <col min="7" max="16384" width="9.125" style="38" customWidth="1"/>
  </cols>
  <sheetData>
    <row r="1" spans="1:8" ht="12.75">
      <c r="A1" s="37" t="s">
        <v>149</v>
      </c>
      <c r="B1" s="37"/>
      <c r="C1" s="37"/>
      <c r="D1" s="37"/>
      <c r="E1" s="37"/>
      <c r="F1" s="37"/>
      <c r="G1" s="37"/>
      <c r="H1" s="37"/>
    </row>
    <row r="2" spans="1:7" ht="12.75">
      <c r="A2" s="37" t="s">
        <v>157</v>
      </c>
      <c r="B2" s="37"/>
      <c r="C2" s="37"/>
      <c r="D2" s="37"/>
      <c r="E2" s="37"/>
      <c r="F2" s="37"/>
      <c r="G2" s="37"/>
    </row>
    <row r="4" ht="12.75">
      <c r="A4" s="38" t="s">
        <v>158</v>
      </c>
    </row>
    <row r="7" spans="1:7" ht="36.75" customHeight="1">
      <c r="A7" s="53" t="s">
        <v>68</v>
      </c>
      <c r="B7" s="54" t="s">
        <v>152</v>
      </c>
      <c r="C7" s="55" t="s">
        <v>159</v>
      </c>
      <c r="D7" s="55"/>
      <c r="E7" s="55"/>
      <c r="F7" s="54" t="s">
        <v>154</v>
      </c>
      <c r="G7" s="56" t="s">
        <v>160</v>
      </c>
    </row>
    <row r="8" spans="1:7" ht="16.5" customHeight="1">
      <c r="A8" s="57"/>
      <c r="B8" s="58"/>
      <c r="C8" s="47" t="s">
        <v>161</v>
      </c>
      <c r="D8" s="47" t="s">
        <v>162</v>
      </c>
      <c r="E8" s="59">
        <v>0.0017</v>
      </c>
      <c r="F8" s="58"/>
      <c r="G8" s="60"/>
    </row>
    <row r="9" spans="1:7" ht="12.75">
      <c r="A9" s="39" t="s">
        <v>163</v>
      </c>
      <c r="B9" s="39">
        <v>10.022</v>
      </c>
      <c r="C9" s="39"/>
      <c r="D9" s="39"/>
      <c r="E9" s="39">
        <v>0</v>
      </c>
      <c r="F9" s="39">
        <v>1.886</v>
      </c>
      <c r="G9" s="39">
        <v>11.908</v>
      </c>
    </row>
    <row r="10" spans="1:7" ht="12.75">
      <c r="A10" s="39">
        <v>18</v>
      </c>
      <c r="B10" s="39">
        <v>43.902</v>
      </c>
      <c r="C10" s="39"/>
      <c r="D10" s="39"/>
      <c r="E10" s="39">
        <v>0</v>
      </c>
      <c r="F10" s="39">
        <v>1.885</v>
      </c>
      <c r="G10" s="39">
        <v>45.787</v>
      </c>
    </row>
    <row r="11" spans="1:7" ht="12.75">
      <c r="A11" s="39">
        <v>26</v>
      </c>
      <c r="B11" s="39">
        <v>7.4270000000000005</v>
      </c>
      <c r="C11" s="39"/>
      <c r="D11" s="39"/>
      <c r="E11" s="39">
        <v>0</v>
      </c>
      <c r="F11" s="39">
        <v>1.885</v>
      </c>
      <c r="G11" s="39">
        <v>9.312000000000001</v>
      </c>
    </row>
    <row r="12" spans="1:7" ht="12.75">
      <c r="A12" s="39">
        <v>42</v>
      </c>
      <c r="B12" s="39">
        <v>30.947000000000003</v>
      </c>
      <c r="C12" s="39"/>
      <c r="D12" s="39"/>
      <c r="E12" s="39">
        <v>0</v>
      </c>
      <c r="F12" s="39">
        <v>1.885</v>
      </c>
      <c r="G12" s="39">
        <v>32.832</v>
      </c>
    </row>
    <row r="13" spans="1:7" ht="12.75">
      <c r="A13" s="39">
        <v>43</v>
      </c>
      <c r="B13" s="39">
        <v>12.141</v>
      </c>
      <c r="C13" s="39"/>
      <c r="D13" s="39">
        <v>9.128</v>
      </c>
      <c r="E13" s="39">
        <v>0.016</v>
      </c>
      <c r="F13" s="39">
        <v>1.886</v>
      </c>
      <c r="G13" s="39">
        <v>14.043</v>
      </c>
    </row>
    <row r="14" spans="1:7" ht="12.75">
      <c r="A14" s="39">
        <v>44</v>
      </c>
      <c r="B14" s="39">
        <v>13.416999999999998</v>
      </c>
      <c r="C14" s="39"/>
      <c r="D14" s="39"/>
      <c r="E14" s="39">
        <v>0</v>
      </c>
      <c r="F14" s="39">
        <v>1.886</v>
      </c>
      <c r="G14" s="39">
        <v>15.302999999999997</v>
      </c>
    </row>
    <row r="15" spans="1:7" ht="12.75">
      <c r="A15" s="39">
        <v>55</v>
      </c>
      <c r="B15" s="39">
        <v>12.015</v>
      </c>
      <c r="C15" s="39"/>
      <c r="D15" s="39"/>
      <c r="E15" s="39">
        <v>0</v>
      </c>
      <c r="F15" s="39">
        <v>1.886</v>
      </c>
      <c r="G15" s="39">
        <v>13.901</v>
      </c>
    </row>
    <row r="16" spans="1:7" ht="12.75">
      <c r="A16" s="39">
        <v>56</v>
      </c>
      <c r="B16" s="39">
        <v>24.601000000000003</v>
      </c>
      <c r="C16" s="39"/>
      <c r="D16" s="39"/>
      <c r="E16" s="39">
        <v>0</v>
      </c>
      <c r="F16" s="39">
        <v>1.885</v>
      </c>
      <c r="G16" s="39">
        <v>26.486000000000004</v>
      </c>
    </row>
    <row r="17" spans="1:7" ht="12.75">
      <c r="A17" s="39">
        <v>57</v>
      </c>
      <c r="B17" s="39">
        <v>13.44</v>
      </c>
      <c r="C17" s="39"/>
      <c r="D17" s="39"/>
      <c r="E17" s="39">
        <v>0</v>
      </c>
      <c r="F17" s="39">
        <v>1.886</v>
      </c>
      <c r="G17" s="39">
        <v>15.325999999999999</v>
      </c>
    </row>
    <row r="18" spans="1:7" ht="12.75">
      <c r="A18" s="39">
        <v>64</v>
      </c>
      <c r="B18" s="39">
        <v>22.521</v>
      </c>
      <c r="C18" s="39"/>
      <c r="D18" s="39"/>
      <c r="E18" s="39">
        <v>0</v>
      </c>
      <c r="F18" s="39">
        <v>1.885</v>
      </c>
      <c r="G18" s="39">
        <v>24.406000000000002</v>
      </c>
    </row>
    <row r="19" spans="1:7" ht="12.75">
      <c r="A19" s="39">
        <v>68</v>
      </c>
      <c r="B19" s="39">
        <v>10.255</v>
      </c>
      <c r="C19" s="39"/>
      <c r="D19" s="39"/>
      <c r="E19" s="39">
        <v>0</v>
      </c>
      <c r="F19" s="39">
        <v>1.885</v>
      </c>
      <c r="G19" s="39">
        <v>12.14</v>
      </c>
    </row>
    <row r="20" spans="1:7" ht="12.75">
      <c r="A20" s="39">
        <v>86</v>
      </c>
      <c r="B20" s="39">
        <v>49.086</v>
      </c>
      <c r="C20" s="39"/>
      <c r="D20" s="39"/>
      <c r="E20" s="39">
        <v>0</v>
      </c>
      <c r="F20" s="39">
        <v>1.885</v>
      </c>
      <c r="G20" s="39">
        <v>50.971</v>
      </c>
    </row>
    <row r="21" spans="1:7" ht="12.75">
      <c r="A21" s="39">
        <v>114</v>
      </c>
      <c r="B21" s="39">
        <v>23.023</v>
      </c>
      <c r="C21" s="39"/>
      <c r="D21" s="39"/>
      <c r="E21" s="39">
        <v>0</v>
      </c>
      <c r="F21" s="39">
        <v>1.885</v>
      </c>
      <c r="G21" s="39">
        <v>24.908</v>
      </c>
    </row>
    <row r="22" spans="1:7" ht="12.75">
      <c r="A22" s="39">
        <v>115</v>
      </c>
      <c r="B22" s="39">
        <v>68.14099999999999</v>
      </c>
      <c r="C22" s="39"/>
      <c r="D22" s="39"/>
      <c r="E22" s="39">
        <v>0</v>
      </c>
      <c r="F22" s="39">
        <v>1.886</v>
      </c>
      <c r="G22" s="39">
        <v>70.02699999999999</v>
      </c>
    </row>
    <row r="23" spans="1:7" ht="12.75">
      <c r="A23" s="39">
        <v>116</v>
      </c>
      <c r="B23" s="39">
        <v>11.835</v>
      </c>
      <c r="C23" s="39"/>
      <c r="D23" s="39"/>
      <c r="E23" s="39">
        <v>0</v>
      </c>
      <c r="F23" s="39">
        <v>1.885</v>
      </c>
      <c r="G23" s="39">
        <v>13.72</v>
      </c>
    </row>
    <row r="24" spans="1:7" ht="12.75">
      <c r="A24" s="39">
        <v>117</v>
      </c>
      <c r="B24" s="39">
        <v>46.031000000000006</v>
      </c>
      <c r="C24" s="39"/>
      <c r="D24" s="39"/>
      <c r="E24" s="39">
        <v>0</v>
      </c>
      <c r="F24" s="39">
        <v>1.885</v>
      </c>
      <c r="G24" s="39">
        <v>47.916000000000004</v>
      </c>
    </row>
    <row r="25" spans="1:7" ht="12.75">
      <c r="A25" s="39">
        <v>131</v>
      </c>
      <c r="B25" s="39">
        <v>15.184000000000001</v>
      </c>
      <c r="C25" s="52">
        <v>0.36</v>
      </c>
      <c r="D25" s="39"/>
      <c r="E25" s="39">
        <v>0</v>
      </c>
      <c r="F25" s="39">
        <v>1.886</v>
      </c>
      <c r="G25" s="39">
        <v>17.43</v>
      </c>
    </row>
    <row r="26" spans="1:7" ht="12.75">
      <c r="A26" s="39">
        <v>133</v>
      </c>
      <c r="B26" s="39">
        <v>10.257000000000001</v>
      </c>
      <c r="C26" s="39"/>
      <c r="D26" s="39"/>
      <c r="E26" s="39">
        <v>0</v>
      </c>
      <c r="F26" s="39">
        <v>1.886</v>
      </c>
      <c r="G26" s="39">
        <v>12.143</v>
      </c>
    </row>
    <row r="27" spans="1:7" ht="12.75">
      <c r="A27" s="39">
        <v>134</v>
      </c>
      <c r="B27" s="39">
        <v>15.735</v>
      </c>
      <c r="C27" s="39"/>
      <c r="D27" s="39"/>
      <c r="E27" s="39">
        <v>0</v>
      </c>
      <c r="F27" s="39">
        <v>1.886</v>
      </c>
      <c r="G27" s="39">
        <v>17.621</v>
      </c>
    </row>
    <row r="28" spans="1:7" ht="12.75">
      <c r="A28" s="39">
        <v>142</v>
      </c>
      <c r="B28" s="39">
        <v>66.29</v>
      </c>
      <c r="C28" s="39"/>
      <c r="D28" s="39"/>
      <c r="E28" s="39">
        <v>0</v>
      </c>
      <c r="F28" s="39">
        <v>1.886</v>
      </c>
      <c r="G28" s="39">
        <v>68.176</v>
      </c>
    </row>
    <row r="29" spans="1:7" ht="12.75">
      <c r="A29" s="39" t="s">
        <v>77</v>
      </c>
      <c r="B29" s="39">
        <v>44.047</v>
      </c>
      <c r="C29" s="39"/>
      <c r="D29" s="39"/>
      <c r="E29" s="39">
        <v>0</v>
      </c>
      <c r="F29" s="39">
        <v>1.885</v>
      </c>
      <c r="G29" s="39">
        <v>45.931999999999995</v>
      </c>
    </row>
    <row r="30" spans="1:7" ht="12.75">
      <c r="A30" s="39" t="s">
        <v>48</v>
      </c>
      <c r="B30" s="39">
        <v>550.317</v>
      </c>
      <c r="C30" s="52">
        <v>0.36</v>
      </c>
      <c r="D30" s="39">
        <v>9.128</v>
      </c>
      <c r="E30" s="39">
        <v>0.016</v>
      </c>
      <c r="F30" s="39">
        <v>39.595</v>
      </c>
      <c r="G30" s="39">
        <v>590.2880000000001</v>
      </c>
    </row>
    <row r="36" ht="12.75">
      <c r="A36" s="38" t="s">
        <v>65</v>
      </c>
    </row>
  </sheetData>
  <mergeCells count="7">
    <mergeCell ref="A1:H1"/>
    <mergeCell ref="A2:G2"/>
    <mergeCell ref="A7:A8"/>
    <mergeCell ref="B7:B8"/>
    <mergeCell ref="C7:E7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26"/>
  <sheetViews>
    <sheetView workbookViewId="0" topLeftCell="A25">
      <selection activeCell="L52" sqref="L52"/>
    </sheetView>
  </sheetViews>
  <sheetFormatPr defaultColWidth="9.00390625" defaultRowHeight="12.75"/>
  <cols>
    <col min="1" max="1" width="9.125" style="36" customWidth="1"/>
    <col min="2" max="2" width="14.375" style="36" customWidth="1"/>
    <col min="3" max="3" width="7.75390625" style="36" customWidth="1"/>
    <col min="4" max="4" width="15.00390625" style="36" customWidth="1"/>
    <col min="5" max="5" width="9.375" style="36" customWidth="1"/>
    <col min="6" max="6" width="4.25390625" style="36" customWidth="1"/>
    <col min="7" max="7" width="11.25390625" style="36" customWidth="1"/>
    <col min="8" max="8" width="9.25390625" style="36" customWidth="1"/>
    <col min="9" max="9" width="8.25390625" style="36" customWidth="1"/>
    <col min="10" max="10" width="8.125" style="36" customWidth="1"/>
    <col min="11" max="11" width="4.625" style="36" customWidth="1"/>
    <col min="12" max="12" width="10.125" style="36" customWidth="1"/>
    <col min="13" max="13" width="6.25390625" style="36" customWidth="1"/>
    <col min="14" max="14" width="5.25390625" style="36" customWidth="1"/>
    <col min="15" max="15" width="6.875" style="36" customWidth="1"/>
    <col min="16" max="16" width="11.00390625" style="36" customWidth="1"/>
    <col min="17" max="17" width="5.875" style="36" customWidth="1"/>
    <col min="18" max="18" width="11.125" style="36" customWidth="1"/>
    <col min="19" max="19" width="11.375" style="36" customWidth="1"/>
    <col min="20" max="20" width="10.375" style="36" customWidth="1"/>
    <col min="21" max="21" width="4.625" style="36" customWidth="1"/>
    <col min="22" max="23" width="11.00390625" style="36" customWidth="1"/>
    <col min="24" max="24" width="16.125" style="36" customWidth="1"/>
    <col min="25" max="25" width="9.125" style="36" customWidth="1"/>
    <col min="26" max="26" width="5.125" style="36" customWidth="1"/>
    <col min="27" max="27" width="11.375" style="36" customWidth="1"/>
    <col min="28" max="28" width="11.25390625" style="36" customWidth="1"/>
    <col min="29" max="29" width="6.375" style="36" hidden="1" customWidth="1"/>
    <col min="30" max="30" width="11.875" style="36" hidden="1" customWidth="1"/>
    <col min="31" max="31" width="10.00390625" style="36" customWidth="1"/>
    <col min="32" max="32" width="8.625" style="36" customWidth="1"/>
    <col min="33" max="33" width="11.875" style="36" customWidth="1"/>
    <col min="34" max="34" width="9.875" style="36" customWidth="1"/>
    <col min="35" max="35" width="4.00390625" style="36" customWidth="1"/>
    <col min="36" max="36" width="11.125" style="36" customWidth="1"/>
    <col min="37" max="41" width="12.375" style="36" customWidth="1"/>
    <col min="42" max="42" width="0.2421875" style="163" hidden="1" customWidth="1"/>
    <col min="43" max="43" width="55.25390625" style="36" customWidth="1"/>
    <col min="44" max="44" width="44.375" style="36" customWidth="1"/>
    <col min="45" max="45" width="13.375" style="68" customWidth="1"/>
    <col min="46" max="46" width="14.75390625" style="36" customWidth="1"/>
    <col min="47" max="47" width="13.625" style="36" customWidth="1"/>
    <col min="48" max="16384" width="9.125" style="36" customWidth="1"/>
  </cols>
  <sheetData>
    <row r="1" spans="1:44" ht="15.75">
      <c r="A1" s="157" t="s">
        <v>233</v>
      </c>
      <c r="B1" s="157"/>
      <c r="C1" s="158"/>
      <c r="D1" s="158"/>
      <c r="E1" s="158"/>
      <c r="F1" s="15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159"/>
      <c r="AQ1" s="67"/>
      <c r="AR1" s="67"/>
    </row>
    <row r="2" spans="1:44" ht="9" customHeight="1" hidden="1">
      <c r="A2" s="160"/>
      <c r="B2" s="160"/>
      <c r="C2" s="160"/>
      <c r="D2" s="160"/>
      <c r="E2" s="160"/>
      <c r="F2" s="160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59"/>
      <c r="AQ2" s="67"/>
      <c r="AR2" s="67"/>
    </row>
    <row r="3" spans="1:45" ht="16.5" customHeight="1">
      <c r="A3" s="161" t="s">
        <v>296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36"/>
    </row>
    <row r="4" spans="1:45" ht="16.5" customHeight="1">
      <c r="A4" s="161" t="s">
        <v>234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36"/>
    </row>
    <row r="5" spans="7:14" ht="6" customHeight="1">
      <c r="G5" s="162"/>
      <c r="H5" s="162"/>
      <c r="I5" s="162"/>
      <c r="J5" s="162"/>
      <c r="K5" s="162"/>
      <c r="L5" s="162"/>
      <c r="M5" s="162"/>
      <c r="N5" s="162"/>
    </row>
    <row r="6" spans="1:45" ht="18.75" customHeight="1">
      <c r="A6" s="164" t="s">
        <v>179</v>
      </c>
      <c r="B6" s="165" t="s">
        <v>235</v>
      </c>
      <c r="C6" s="166" t="s">
        <v>236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 t="s">
        <v>237</v>
      </c>
      <c r="AR6" s="168"/>
      <c r="AS6" s="168"/>
    </row>
    <row r="7" spans="1:45" ht="6.75" customHeight="1" hidden="1">
      <c r="A7" s="169"/>
      <c r="B7" s="170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71"/>
      <c r="AR7" s="168"/>
      <c r="AS7" s="168"/>
    </row>
    <row r="8" spans="1:45" ht="18" customHeight="1">
      <c r="A8" s="169"/>
      <c r="B8" s="170"/>
      <c r="C8" s="166" t="s">
        <v>189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 t="s">
        <v>238</v>
      </c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71"/>
      <c r="AR8" s="168"/>
      <c r="AS8" s="168"/>
    </row>
    <row r="9" spans="1:45" ht="75" customHeight="1">
      <c r="A9" s="169"/>
      <c r="B9" s="170"/>
      <c r="C9" s="172" t="s">
        <v>197</v>
      </c>
      <c r="D9" s="172" t="s">
        <v>198</v>
      </c>
      <c r="E9" s="172" t="s">
        <v>199</v>
      </c>
      <c r="F9" s="172" t="s">
        <v>239</v>
      </c>
      <c r="G9" s="172" t="s">
        <v>240</v>
      </c>
      <c r="H9" s="172" t="s">
        <v>241</v>
      </c>
      <c r="I9" s="172" t="s">
        <v>203</v>
      </c>
      <c r="J9" s="172" t="s">
        <v>204</v>
      </c>
      <c r="K9" s="172" t="s">
        <v>239</v>
      </c>
      <c r="L9" s="172" t="s">
        <v>242</v>
      </c>
      <c r="M9" s="172" t="s">
        <v>206</v>
      </c>
      <c r="N9" s="172" t="s">
        <v>200</v>
      </c>
      <c r="O9" s="172" t="s">
        <v>242</v>
      </c>
      <c r="P9" s="172" t="s">
        <v>208</v>
      </c>
      <c r="Q9" s="172" t="s">
        <v>200</v>
      </c>
      <c r="R9" s="172" t="s">
        <v>243</v>
      </c>
      <c r="S9" s="173" t="s">
        <v>244</v>
      </c>
      <c r="T9" s="174" t="s">
        <v>245</v>
      </c>
      <c r="U9" s="175"/>
      <c r="V9" s="175"/>
      <c r="W9" s="176"/>
      <c r="X9" s="177" t="s">
        <v>246</v>
      </c>
      <c r="Y9" s="172" t="s">
        <v>247</v>
      </c>
      <c r="Z9" s="172"/>
      <c r="AA9" s="172"/>
      <c r="AB9" s="172" t="s">
        <v>297</v>
      </c>
      <c r="AC9" s="178"/>
      <c r="AD9" s="178"/>
      <c r="AE9" s="179" t="s">
        <v>248</v>
      </c>
      <c r="AF9" s="180"/>
      <c r="AG9" s="181"/>
      <c r="AH9" s="172" t="s">
        <v>249</v>
      </c>
      <c r="AI9" s="172"/>
      <c r="AJ9" s="172"/>
      <c r="AK9" s="172" t="s">
        <v>250</v>
      </c>
      <c r="AL9" s="182" t="s">
        <v>251</v>
      </c>
      <c r="AM9" s="182" t="s">
        <v>182</v>
      </c>
      <c r="AN9" s="182" t="s">
        <v>252</v>
      </c>
      <c r="AO9" s="173" t="s">
        <v>253</v>
      </c>
      <c r="AP9" s="183"/>
      <c r="AQ9" s="171"/>
      <c r="AR9" s="168"/>
      <c r="AS9" s="36"/>
    </row>
    <row r="10" spans="1:45" ht="44.25" customHeight="1">
      <c r="A10" s="169"/>
      <c r="B10" s="170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/>
      <c r="T10" s="184" t="s">
        <v>254</v>
      </c>
      <c r="U10" s="185" t="s">
        <v>239</v>
      </c>
      <c r="V10" s="186" t="s">
        <v>255</v>
      </c>
      <c r="W10" s="186" t="s">
        <v>256</v>
      </c>
      <c r="X10" s="177"/>
      <c r="Y10" s="184" t="s">
        <v>254</v>
      </c>
      <c r="Z10" s="185" t="s">
        <v>239</v>
      </c>
      <c r="AA10" s="185" t="s">
        <v>257</v>
      </c>
      <c r="AB10" s="172"/>
      <c r="AC10" s="187"/>
      <c r="AD10" s="187"/>
      <c r="AE10" s="184" t="s">
        <v>254</v>
      </c>
      <c r="AF10" s="185" t="s">
        <v>239</v>
      </c>
      <c r="AG10" s="185" t="s">
        <v>258</v>
      </c>
      <c r="AH10" s="184" t="s">
        <v>254</v>
      </c>
      <c r="AI10" s="185" t="s">
        <v>259</v>
      </c>
      <c r="AJ10" s="185" t="s">
        <v>257</v>
      </c>
      <c r="AK10" s="172"/>
      <c r="AL10" s="188"/>
      <c r="AM10" s="188"/>
      <c r="AN10" s="188"/>
      <c r="AO10" s="172"/>
      <c r="AP10" s="183"/>
      <c r="AQ10" s="189"/>
      <c r="AR10" s="168"/>
      <c r="AS10" s="36"/>
    </row>
    <row r="11" spans="1:43" s="202" customFormat="1" ht="18.75" customHeight="1">
      <c r="A11" s="190" t="s">
        <v>260</v>
      </c>
      <c r="B11" s="191">
        <f>AO11</f>
        <v>10022.44</v>
      </c>
      <c r="C11" s="189" t="s">
        <v>215</v>
      </c>
      <c r="D11" s="192">
        <v>39.92</v>
      </c>
      <c r="E11" s="192">
        <f>D11</f>
        <v>39.92</v>
      </c>
      <c r="F11" s="193">
        <v>12</v>
      </c>
      <c r="G11" s="192">
        <f>E11*12</f>
        <v>479.04</v>
      </c>
      <c r="H11" s="189"/>
      <c r="I11" s="194"/>
      <c r="J11" s="192"/>
      <c r="K11" s="191"/>
      <c r="L11" s="192"/>
      <c r="M11" s="195"/>
      <c r="N11" s="195"/>
      <c r="O11" s="195"/>
      <c r="P11" s="192">
        <v>72.33</v>
      </c>
      <c r="Q11" s="193">
        <v>12</v>
      </c>
      <c r="R11" s="192">
        <f>P11*Q11</f>
        <v>867.96</v>
      </c>
      <c r="S11" s="196">
        <f>R11+L11+G11</f>
        <v>1347</v>
      </c>
      <c r="T11" s="197"/>
      <c r="U11" s="197"/>
      <c r="V11" s="197"/>
      <c r="W11" s="197"/>
      <c r="X11" s="197"/>
      <c r="Y11" s="198"/>
      <c r="Z11" s="192"/>
      <c r="AA11" s="192"/>
      <c r="AB11" s="192"/>
      <c r="AC11" s="192"/>
      <c r="AD11" s="192"/>
      <c r="AE11" s="110"/>
      <c r="AF11" s="110"/>
      <c r="AG11" s="110"/>
      <c r="AH11" s="192"/>
      <c r="AI11" s="192"/>
      <c r="AJ11" s="192"/>
      <c r="AK11" s="199"/>
      <c r="AL11" s="199">
        <v>6372</v>
      </c>
      <c r="AM11" s="199">
        <f>1955.64+347.8</f>
        <v>2303.44</v>
      </c>
      <c r="AN11" s="199"/>
      <c r="AO11" s="196">
        <f>S11+V11+X11+AA11+AB11+AG11+AJ11+AK11+AL11+AM11+AN11</f>
        <v>10022.44</v>
      </c>
      <c r="AP11" s="200"/>
      <c r="AQ11" s="201" t="s">
        <v>261</v>
      </c>
    </row>
    <row r="12" spans="1:43" s="202" customFormat="1" ht="18" customHeight="1">
      <c r="A12" s="203">
        <v>18</v>
      </c>
      <c r="B12" s="204">
        <f>AO12</f>
        <v>43902.196</v>
      </c>
      <c r="C12" s="167" t="s">
        <v>215</v>
      </c>
      <c r="D12" s="205">
        <v>32</v>
      </c>
      <c r="E12" s="205">
        <f>D12</f>
        <v>32</v>
      </c>
      <c r="F12" s="206">
        <v>12</v>
      </c>
      <c r="G12" s="205">
        <f>E12*F12</f>
        <v>384</v>
      </c>
      <c r="H12" s="167">
        <v>0.054</v>
      </c>
      <c r="I12" s="204">
        <v>152</v>
      </c>
      <c r="J12" s="205">
        <f>H12*I12</f>
        <v>8.208</v>
      </c>
      <c r="K12" s="204">
        <v>12</v>
      </c>
      <c r="L12" s="205">
        <f>J12*12</f>
        <v>98.49600000000001</v>
      </c>
      <c r="M12" s="205"/>
      <c r="N12" s="205"/>
      <c r="O12" s="205"/>
      <c r="P12" s="205"/>
      <c r="Q12" s="206"/>
      <c r="R12" s="205"/>
      <c r="S12" s="207">
        <f>R12+L12+G12</f>
        <v>482.496</v>
      </c>
      <c r="T12" s="197">
        <v>3550</v>
      </c>
      <c r="U12" s="208">
        <v>1</v>
      </c>
      <c r="V12" s="197">
        <f>T12*U12</f>
        <v>3550</v>
      </c>
      <c r="W12" s="205">
        <f>V12+V13</f>
        <v>4450</v>
      </c>
      <c r="X12" s="209">
        <v>674.62</v>
      </c>
      <c r="Y12" s="210">
        <v>696</v>
      </c>
      <c r="Z12" s="204">
        <v>7</v>
      </c>
      <c r="AA12" s="205">
        <f>Y12*Z12</f>
        <v>4872</v>
      </c>
      <c r="AB12" s="205"/>
      <c r="AC12" s="192"/>
      <c r="AD12" s="192"/>
      <c r="AE12" s="211"/>
      <c r="AF12" s="211"/>
      <c r="AG12" s="211"/>
      <c r="AH12" s="205"/>
      <c r="AI12" s="205"/>
      <c r="AJ12" s="205"/>
      <c r="AK12" s="205">
        <v>5048</v>
      </c>
      <c r="AL12" s="205">
        <v>3219</v>
      </c>
      <c r="AM12" s="205">
        <f>548.26+249.82</f>
        <v>798.0799999999999</v>
      </c>
      <c r="AN12" s="205">
        <v>24358</v>
      </c>
      <c r="AO12" s="212">
        <f>AN12+AM12+AL12+AA12+X12+S12+W12+AK12</f>
        <v>43902.196</v>
      </c>
      <c r="AP12" s="213"/>
      <c r="AQ12" s="214" t="s">
        <v>262</v>
      </c>
    </row>
    <row r="13" spans="1:43" s="202" customFormat="1" ht="18" customHeight="1">
      <c r="A13" s="215"/>
      <c r="B13" s="216"/>
      <c r="C13" s="217"/>
      <c r="D13" s="218"/>
      <c r="E13" s="218"/>
      <c r="F13" s="219"/>
      <c r="G13" s="218"/>
      <c r="H13" s="217"/>
      <c r="I13" s="216"/>
      <c r="J13" s="218"/>
      <c r="K13" s="216"/>
      <c r="L13" s="218"/>
      <c r="M13" s="218"/>
      <c r="N13" s="218"/>
      <c r="O13" s="218"/>
      <c r="P13" s="218"/>
      <c r="Q13" s="219"/>
      <c r="R13" s="218"/>
      <c r="S13" s="220"/>
      <c r="T13" s="197">
        <v>150</v>
      </c>
      <c r="U13" s="221">
        <v>6</v>
      </c>
      <c r="V13" s="213">
        <f>T13*6</f>
        <v>900</v>
      </c>
      <c r="W13" s="104"/>
      <c r="X13" s="209"/>
      <c r="Y13" s="222"/>
      <c r="Z13" s="216"/>
      <c r="AA13" s="218"/>
      <c r="AB13" s="218"/>
      <c r="AC13" s="192"/>
      <c r="AD13" s="192"/>
      <c r="AE13" s="192"/>
      <c r="AF13" s="192"/>
      <c r="AG13" s="192"/>
      <c r="AH13" s="218"/>
      <c r="AI13" s="218"/>
      <c r="AJ13" s="218"/>
      <c r="AK13" s="218"/>
      <c r="AL13" s="218"/>
      <c r="AM13" s="218"/>
      <c r="AN13" s="218"/>
      <c r="AO13" s="223"/>
      <c r="AP13" s="213"/>
      <c r="AQ13" s="224"/>
    </row>
    <row r="14" spans="1:43" s="202" customFormat="1" ht="21" customHeight="1">
      <c r="A14" s="225">
        <v>26</v>
      </c>
      <c r="B14" s="191">
        <f aca="true" t="shared" si="0" ref="B14:B22">AO14</f>
        <v>7427.164</v>
      </c>
      <c r="C14" s="189" t="s">
        <v>263</v>
      </c>
      <c r="D14" s="197">
        <v>32</v>
      </c>
      <c r="E14" s="197">
        <f>D14</f>
        <v>32</v>
      </c>
      <c r="F14" s="193">
        <v>12</v>
      </c>
      <c r="G14" s="192">
        <f>E14*F14</f>
        <v>384</v>
      </c>
      <c r="H14" s="189">
        <v>0.054</v>
      </c>
      <c r="I14" s="226">
        <v>138</v>
      </c>
      <c r="J14" s="192">
        <f>H14*I14</f>
        <v>7.452</v>
      </c>
      <c r="K14" s="191">
        <v>12</v>
      </c>
      <c r="L14" s="192">
        <f>J14*12</f>
        <v>89.424</v>
      </c>
      <c r="M14" s="192"/>
      <c r="N14" s="192"/>
      <c r="O14" s="192"/>
      <c r="P14" s="192">
        <v>250</v>
      </c>
      <c r="Q14" s="193">
        <v>12</v>
      </c>
      <c r="R14" s="192">
        <f>Q14*P14</f>
        <v>3000</v>
      </c>
      <c r="S14" s="196">
        <f aca="true" t="shared" si="1" ref="S14:S22">R14+L14+G14</f>
        <v>3473.424</v>
      </c>
      <c r="T14" s="197"/>
      <c r="U14" s="226"/>
      <c r="V14" s="197"/>
      <c r="W14" s="197"/>
      <c r="X14" s="197"/>
      <c r="Y14" s="198"/>
      <c r="Z14" s="191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9"/>
      <c r="AL14" s="199">
        <v>3153</v>
      </c>
      <c r="AM14" s="199">
        <f>652.74+148</f>
        <v>800.74</v>
      </c>
      <c r="AN14" s="199"/>
      <c r="AO14" s="196">
        <f>AM14+AL14+S14</f>
        <v>7427.164</v>
      </c>
      <c r="AP14" s="213"/>
      <c r="AQ14" s="227" t="s">
        <v>264</v>
      </c>
    </row>
    <row r="15" spans="1:43" s="202" customFormat="1" ht="30.75" customHeight="1">
      <c r="A15" s="225">
        <v>42</v>
      </c>
      <c r="B15" s="191">
        <f t="shared" si="0"/>
        <v>30947.1</v>
      </c>
      <c r="C15" s="228" t="s">
        <v>265</v>
      </c>
      <c r="D15" s="197" t="s">
        <v>224</v>
      </c>
      <c r="E15" s="197">
        <v>43.75</v>
      </c>
      <c r="F15" s="193">
        <v>12</v>
      </c>
      <c r="G15" s="192">
        <f>E15*F15</f>
        <v>525</v>
      </c>
      <c r="H15" s="189"/>
      <c r="I15" s="226"/>
      <c r="J15" s="192"/>
      <c r="K15" s="191"/>
      <c r="L15" s="192"/>
      <c r="M15" s="192"/>
      <c r="N15" s="192"/>
      <c r="O15" s="192"/>
      <c r="P15" s="192">
        <v>72.33</v>
      </c>
      <c r="Q15" s="193">
        <v>12</v>
      </c>
      <c r="R15" s="192">
        <f>Q15*P15</f>
        <v>867.96</v>
      </c>
      <c r="S15" s="196">
        <f t="shared" si="1"/>
        <v>1392.96</v>
      </c>
      <c r="T15" s="197"/>
      <c r="U15" s="208"/>
      <c r="V15" s="197"/>
      <c r="W15" s="197"/>
      <c r="X15" s="197">
        <v>1128.17</v>
      </c>
      <c r="Y15" s="198">
        <v>696</v>
      </c>
      <c r="Z15" s="191">
        <v>7</v>
      </c>
      <c r="AA15" s="192">
        <f>Y15*Z15</f>
        <v>4872</v>
      </c>
      <c r="AB15" s="192">
        <v>3654.07</v>
      </c>
      <c r="AC15" s="191">
        <v>3</v>
      </c>
      <c r="AD15" s="192">
        <f>AB15*AC15</f>
        <v>10962.210000000001</v>
      </c>
      <c r="AE15" s="192">
        <v>950.4</v>
      </c>
      <c r="AF15" s="191">
        <v>11</v>
      </c>
      <c r="AG15" s="192">
        <f>AE15*AF15</f>
        <v>10454.4</v>
      </c>
      <c r="AH15" s="192"/>
      <c r="AI15" s="192"/>
      <c r="AJ15" s="192"/>
      <c r="AK15" s="199">
        <v>5048</v>
      </c>
      <c r="AL15" s="199">
        <v>3153</v>
      </c>
      <c r="AM15" s="199">
        <f>1096.5+148</f>
        <v>1244.5</v>
      </c>
      <c r="AN15" s="199"/>
      <c r="AO15" s="196">
        <f>AM15+AL15+AG15+AB15+AA15+X15+S15+W15+AK15</f>
        <v>30947.1</v>
      </c>
      <c r="AP15" s="213"/>
      <c r="AQ15" s="229" t="s">
        <v>266</v>
      </c>
    </row>
    <row r="16" spans="1:43" s="202" customFormat="1" ht="21" customHeight="1">
      <c r="A16" s="225">
        <v>43</v>
      </c>
      <c r="B16" s="191">
        <f t="shared" si="0"/>
        <v>12141.07</v>
      </c>
      <c r="C16" s="189" t="s">
        <v>267</v>
      </c>
      <c r="D16" s="197" t="s">
        <v>268</v>
      </c>
      <c r="E16" s="197">
        <v>75.81</v>
      </c>
      <c r="F16" s="193">
        <v>12</v>
      </c>
      <c r="G16" s="192">
        <f>E16*F16</f>
        <v>909.72</v>
      </c>
      <c r="H16" s="189">
        <v>0.054</v>
      </c>
      <c r="I16" s="226">
        <v>180</v>
      </c>
      <c r="J16" s="192">
        <f>H16*I16</f>
        <v>9.72</v>
      </c>
      <c r="K16" s="191">
        <v>12</v>
      </c>
      <c r="L16" s="192">
        <f>J16*12</f>
        <v>116.64000000000001</v>
      </c>
      <c r="M16" s="192"/>
      <c r="N16" s="192"/>
      <c r="O16" s="192"/>
      <c r="P16" s="192">
        <v>280</v>
      </c>
      <c r="Q16" s="193">
        <v>12</v>
      </c>
      <c r="R16" s="192">
        <f>P16*12</f>
        <v>3360</v>
      </c>
      <c r="S16" s="196">
        <f t="shared" si="1"/>
        <v>4386.36</v>
      </c>
      <c r="T16" s="197"/>
      <c r="U16" s="197"/>
      <c r="V16" s="197"/>
      <c r="W16" s="197"/>
      <c r="X16" s="197"/>
      <c r="Y16" s="198"/>
      <c r="Z16" s="192"/>
      <c r="AA16" s="192"/>
      <c r="AB16" s="192"/>
      <c r="AC16" s="191"/>
      <c r="AD16" s="192"/>
      <c r="AE16" s="192"/>
      <c r="AF16" s="192"/>
      <c r="AG16" s="192"/>
      <c r="AH16" s="192"/>
      <c r="AI16" s="192"/>
      <c r="AJ16" s="192"/>
      <c r="AK16" s="199"/>
      <c r="AL16" s="199">
        <v>6174</v>
      </c>
      <c r="AM16" s="199">
        <f>1070.7+510.01</f>
        <v>1580.71</v>
      </c>
      <c r="AN16" s="199"/>
      <c r="AO16" s="196">
        <f>AM16+AL16+S16</f>
        <v>12141.07</v>
      </c>
      <c r="AP16" s="213"/>
      <c r="AQ16" s="201" t="s">
        <v>269</v>
      </c>
    </row>
    <row r="17" spans="1:43" s="202" customFormat="1" ht="29.25" customHeight="1">
      <c r="A17" s="225">
        <v>44</v>
      </c>
      <c r="B17" s="191">
        <f t="shared" si="0"/>
        <v>13417.16</v>
      </c>
      <c r="C17" s="230" t="s">
        <v>270</v>
      </c>
      <c r="D17" s="231" t="s">
        <v>271</v>
      </c>
      <c r="E17" s="197">
        <f>39.92*2+3.84+3.84</f>
        <v>87.52000000000001</v>
      </c>
      <c r="F17" s="193">
        <v>12</v>
      </c>
      <c r="G17" s="192">
        <f>E17*F17</f>
        <v>1050.2400000000002</v>
      </c>
      <c r="H17" s="189"/>
      <c r="I17" s="226"/>
      <c r="J17" s="192"/>
      <c r="K17" s="191"/>
      <c r="L17" s="192"/>
      <c r="M17" s="192"/>
      <c r="N17" s="192"/>
      <c r="O17" s="192"/>
      <c r="P17" s="192">
        <v>165</v>
      </c>
      <c r="Q17" s="193">
        <v>12</v>
      </c>
      <c r="R17" s="192">
        <f>P17*12</f>
        <v>1980</v>
      </c>
      <c r="S17" s="196">
        <f t="shared" si="1"/>
        <v>3030.2400000000002</v>
      </c>
      <c r="T17" s="197"/>
      <c r="U17" s="197"/>
      <c r="V17" s="197"/>
      <c r="W17" s="197"/>
      <c r="X17" s="197"/>
      <c r="Y17" s="198"/>
      <c r="Z17" s="192"/>
      <c r="AA17" s="192"/>
      <c r="AB17" s="192"/>
      <c r="AC17" s="191"/>
      <c r="AD17" s="192"/>
      <c r="AE17" s="192"/>
      <c r="AF17" s="192"/>
      <c r="AG17" s="192"/>
      <c r="AH17" s="192"/>
      <c r="AI17" s="192"/>
      <c r="AJ17" s="192"/>
      <c r="AK17" s="199">
        <v>5048</v>
      </c>
      <c r="AL17" s="199">
        <v>3153</v>
      </c>
      <c r="AM17" s="199">
        <f>1806+379.92</f>
        <v>2185.92</v>
      </c>
      <c r="AN17" s="199"/>
      <c r="AO17" s="196">
        <f>AM17+AL17+AK17+S17</f>
        <v>13417.16</v>
      </c>
      <c r="AP17" s="213"/>
      <c r="AQ17" s="229" t="s">
        <v>272</v>
      </c>
    </row>
    <row r="18" spans="1:43" s="202" customFormat="1" ht="27" customHeight="1">
      <c r="A18" s="232">
        <v>55</v>
      </c>
      <c r="B18" s="191">
        <f t="shared" si="0"/>
        <v>12014.869999999999</v>
      </c>
      <c r="C18" s="233" t="s">
        <v>273</v>
      </c>
      <c r="D18" s="234" t="s">
        <v>224</v>
      </c>
      <c r="E18" s="234">
        <v>43.75</v>
      </c>
      <c r="F18" s="235">
        <v>12</v>
      </c>
      <c r="G18" s="211">
        <f>E18*F18</f>
        <v>525</v>
      </c>
      <c r="H18" s="236"/>
      <c r="I18" s="237"/>
      <c r="J18" s="211"/>
      <c r="K18" s="194"/>
      <c r="L18" s="211"/>
      <c r="M18" s="211"/>
      <c r="N18" s="211"/>
      <c r="O18" s="211"/>
      <c r="P18" s="211">
        <v>72.33</v>
      </c>
      <c r="Q18" s="235">
        <v>12</v>
      </c>
      <c r="R18" s="211">
        <f>P18*12</f>
        <v>867.96</v>
      </c>
      <c r="S18" s="238">
        <f t="shared" si="1"/>
        <v>1392.96</v>
      </c>
      <c r="T18" s="197"/>
      <c r="U18" s="226"/>
      <c r="V18" s="197"/>
      <c r="W18" s="197"/>
      <c r="X18" s="197"/>
      <c r="Y18" s="239"/>
      <c r="Z18" s="211"/>
      <c r="AA18" s="211"/>
      <c r="AB18" s="211"/>
      <c r="AC18" s="194"/>
      <c r="AD18" s="211"/>
      <c r="AE18" s="211"/>
      <c r="AF18" s="211"/>
      <c r="AG18" s="211"/>
      <c r="AH18" s="211"/>
      <c r="AI18" s="211"/>
      <c r="AJ18" s="211"/>
      <c r="AK18" s="199">
        <v>5047</v>
      </c>
      <c r="AL18" s="240">
        <v>3219</v>
      </c>
      <c r="AM18" s="240">
        <f>1889.86+466.05</f>
        <v>2355.91</v>
      </c>
      <c r="AN18" s="240"/>
      <c r="AO18" s="238">
        <f>AM18+AL18+S18+AK18</f>
        <v>12014.869999999999</v>
      </c>
      <c r="AP18" s="241"/>
      <c r="AQ18" s="229" t="s">
        <v>274</v>
      </c>
    </row>
    <row r="19" spans="1:43" s="247" customFormat="1" ht="29.25" customHeight="1">
      <c r="A19" s="236">
        <v>56</v>
      </c>
      <c r="B19" s="191">
        <f t="shared" si="0"/>
        <v>24600.68</v>
      </c>
      <c r="C19" s="178" t="s">
        <v>215</v>
      </c>
      <c r="D19" s="197">
        <v>39.92</v>
      </c>
      <c r="E19" s="197">
        <f>D19</f>
        <v>39.92</v>
      </c>
      <c r="F19" s="208">
        <v>12</v>
      </c>
      <c r="G19" s="197">
        <f>E19*12</f>
        <v>479.04</v>
      </c>
      <c r="H19" s="242"/>
      <c r="I19" s="226"/>
      <c r="J19" s="197"/>
      <c r="K19" s="226"/>
      <c r="L19" s="197"/>
      <c r="M19" s="197"/>
      <c r="N19" s="197"/>
      <c r="O19" s="197"/>
      <c r="P19" s="197"/>
      <c r="Q19" s="208"/>
      <c r="R19" s="197"/>
      <c r="S19" s="238">
        <f t="shared" si="1"/>
        <v>479.04</v>
      </c>
      <c r="T19" s="243"/>
      <c r="U19" s="243"/>
      <c r="V19" s="213"/>
      <c r="W19" s="213"/>
      <c r="X19" s="197">
        <v>7349.51</v>
      </c>
      <c r="Y19" s="244">
        <v>696</v>
      </c>
      <c r="Z19" s="208">
        <v>7</v>
      </c>
      <c r="AA19" s="197">
        <f>Y19*Z19</f>
        <v>4872</v>
      </c>
      <c r="AB19" s="197">
        <v>4423.83</v>
      </c>
      <c r="AC19" s="226"/>
      <c r="AD19" s="197"/>
      <c r="AE19" s="197"/>
      <c r="AF19" s="197"/>
      <c r="AG19" s="197"/>
      <c r="AH19" s="197"/>
      <c r="AI19" s="197"/>
      <c r="AJ19" s="197"/>
      <c r="AK19" s="199">
        <v>5047</v>
      </c>
      <c r="AL19" s="197">
        <v>1764</v>
      </c>
      <c r="AM19" s="197">
        <f>517.3+148</f>
        <v>665.3</v>
      </c>
      <c r="AN19" s="197"/>
      <c r="AO19" s="245">
        <f>AM19+AL19+AK19+AA19+X19+S19+W19+AB19</f>
        <v>24600.68</v>
      </c>
      <c r="AP19" s="213"/>
      <c r="AQ19" s="246" t="s">
        <v>275</v>
      </c>
    </row>
    <row r="20" spans="1:43" s="202" customFormat="1" ht="21" customHeight="1">
      <c r="A20" s="225">
        <v>57</v>
      </c>
      <c r="B20" s="191">
        <f t="shared" si="0"/>
        <v>13439.52</v>
      </c>
      <c r="C20" s="189" t="s">
        <v>276</v>
      </c>
      <c r="D20" s="197">
        <v>39.92</v>
      </c>
      <c r="E20" s="197">
        <f>D20</f>
        <v>39.92</v>
      </c>
      <c r="F20" s="193">
        <v>12</v>
      </c>
      <c r="G20" s="192">
        <f>E20*12</f>
        <v>479.04</v>
      </c>
      <c r="H20" s="242"/>
      <c r="I20" s="226"/>
      <c r="J20" s="192"/>
      <c r="K20" s="191"/>
      <c r="L20" s="192"/>
      <c r="M20" s="192"/>
      <c r="N20" s="192"/>
      <c r="O20" s="192"/>
      <c r="P20" s="192">
        <v>375</v>
      </c>
      <c r="Q20" s="193">
        <v>11</v>
      </c>
      <c r="R20" s="192">
        <f>P20*11</f>
        <v>4125</v>
      </c>
      <c r="S20" s="196">
        <f t="shared" si="1"/>
        <v>4604.04</v>
      </c>
      <c r="T20" s="197"/>
      <c r="U20" s="226"/>
      <c r="V20" s="197"/>
      <c r="W20" s="197"/>
      <c r="X20" s="221"/>
      <c r="Y20" s="248"/>
      <c r="Z20" s="221"/>
      <c r="AA20" s="221"/>
      <c r="AB20" s="192"/>
      <c r="AC20" s="191"/>
      <c r="AD20" s="192"/>
      <c r="AE20" s="192"/>
      <c r="AF20" s="192"/>
      <c r="AG20" s="192"/>
      <c r="AH20" s="192"/>
      <c r="AI20" s="192"/>
      <c r="AJ20" s="192"/>
      <c r="AK20" s="192"/>
      <c r="AL20" s="192">
        <v>6372</v>
      </c>
      <c r="AM20" s="192">
        <f>2285.88+177.6</f>
        <v>2463.48</v>
      </c>
      <c r="AN20" s="192"/>
      <c r="AO20" s="245">
        <f>AM20+AL20+S20</f>
        <v>13439.52</v>
      </c>
      <c r="AP20" s="213"/>
      <c r="AQ20" s="201" t="s">
        <v>277</v>
      </c>
    </row>
    <row r="21" spans="1:43" s="202" customFormat="1" ht="27" customHeight="1">
      <c r="A21" s="225">
        <v>64</v>
      </c>
      <c r="B21" s="191">
        <f t="shared" si="0"/>
        <v>22521.289999999997</v>
      </c>
      <c r="C21" s="230" t="s">
        <v>278</v>
      </c>
      <c r="D21" s="197" t="s">
        <v>279</v>
      </c>
      <c r="E21" s="197">
        <v>55.27</v>
      </c>
      <c r="F21" s="193">
        <v>12</v>
      </c>
      <c r="G21" s="192">
        <f>E21*12</f>
        <v>663.24</v>
      </c>
      <c r="H21" s="242">
        <v>0.054</v>
      </c>
      <c r="I21" s="226">
        <v>120</v>
      </c>
      <c r="J21" s="192">
        <f>H21*I21</f>
        <v>6.4799999999999995</v>
      </c>
      <c r="K21" s="191">
        <v>12</v>
      </c>
      <c r="L21" s="192">
        <f>J21*12</f>
        <v>77.75999999999999</v>
      </c>
      <c r="M21" s="192"/>
      <c r="N21" s="192"/>
      <c r="O21" s="192"/>
      <c r="P21" s="192">
        <v>72.33</v>
      </c>
      <c r="Q21" s="193">
        <v>12</v>
      </c>
      <c r="R21" s="192">
        <f>P21*12</f>
        <v>867.96</v>
      </c>
      <c r="S21" s="196">
        <f t="shared" si="1"/>
        <v>1608.96</v>
      </c>
      <c r="T21" s="197">
        <v>610.4</v>
      </c>
      <c r="U21" s="208">
        <v>7</v>
      </c>
      <c r="V21" s="197">
        <f>T21*U21</f>
        <v>4272.8</v>
      </c>
      <c r="W21" s="197">
        <f>V21</f>
        <v>4272.8</v>
      </c>
      <c r="X21" s="197"/>
      <c r="Y21" s="198">
        <v>696</v>
      </c>
      <c r="Z21" s="191">
        <v>7</v>
      </c>
      <c r="AA21" s="192">
        <f>Y21*Z21</f>
        <v>4872</v>
      </c>
      <c r="AB21" s="192">
        <v>247.73</v>
      </c>
      <c r="AC21" s="191"/>
      <c r="AD21" s="192"/>
      <c r="AE21" s="192"/>
      <c r="AF21" s="192"/>
      <c r="AG21" s="192"/>
      <c r="AH21" s="192"/>
      <c r="AI21" s="192"/>
      <c r="AJ21" s="192"/>
      <c r="AK21" s="199">
        <v>5047</v>
      </c>
      <c r="AL21" s="192">
        <v>3219</v>
      </c>
      <c r="AM21" s="192">
        <f>541.8+148</f>
        <v>689.8</v>
      </c>
      <c r="AN21" s="192">
        <v>2564</v>
      </c>
      <c r="AO21" s="245">
        <f>AM21+AL21+AA21+V21+S21+AB21+AN21+AK21</f>
        <v>22521.289999999997</v>
      </c>
      <c r="AP21" s="213"/>
      <c r="AQ21" s="229" t="s">
        <v>280</v>
      </c>
    </row>
    <row r="22" spans="1:43" s="202" customFormat="1" ht="25.5" customHeight="1">
      <c r="A22" s="225">
        <v>68</v>
      </c>
      <c r="B22" s="191">
        <f t="shared" si="0"/>
        <v>10254.779999999999</v>
      </c>
      <c r="C22" s="242" t="s">
        <v>276</v>
      </c>
      <c r="D22" s="197">
        <v>32</v>
      </c>
      <c r="E22" s="197">
        <f>D22</f>
        <v>32</v>
      </c>
      <c r="F22" s="193">
        <v>12</v>
      </c>
      <c r="G22" s="192">
        <f>E22*12</f>
        <v>384</v>
      </c>
      <c r="H22" s="242">
        <v>0.054</v>
      </c>
      <c r="I22" s="226">
        <v>130</v>
      </c>
      <c r="J22" s="192">
        <f>H22*I22</f>
        <v>7.02</v>
      </c>
      <c r="K22" s="191">
        <v>12</v>
      </c>
      <c r="L22" s="192">
        <f>J22*12</f>
        <v>84.24</v>
      </c>
      <c r="M22" s="192"/>
      <c r="N22" s="192"/>
      <c r="O22" s="192"/>
      <c r="P22" s="192"/>
      <c r="Q22" s="193"/>
      <c r="R22" s="192"/>
      <c r="S22" s="196">
        <f t="shared" si="1"/>
        <v>468.24</v>
      </c>
      <c r="T22" s="209"/>
      <c r="U22" s="249"/>
      <c r="V22" s="209"/>
      <c r="W22" s="197"/>
      <c r="X22" s="197"/>
      <c r="Y22" s="198"/>
      <c r="Z22" s="192"/>
      <c r="AA22" s="192"/>
      <c r="AB22" s="192"/>
      <c r="AC22" s="191"/>
      <c r="AD22" s="192"/>
      <c r="AE22" s="192"/>
      <c r="AF22" s="192"/>
      <c r="AG22" s="192"/>
      <c r="AH22" s="192"/>
      <c r="AI22" s="192"/>
      <c r="AJ22" s="192"/>
      <c r="AK22" s="199">
        <v>5047</v>
      </c>
      <c r="AL22" s="199">
        <v>3153</v>
      </c>
      <c r="AM22" s="199">
        <f>1246.14+340.4</f>
        <v>1586.54</v>
      </c>
      <c r="AN22" s="199"/>
      <c r="AO22" s="196">
        <f>AM22+AL22+S22+AK22</f>
        <v>10254.779999999999</v>
      </c>
      <c r="AP22" s="213"/>
      <c r="AQ22" s="227" t="s">
        <v>281</v>
      </c>
    </row>
    <row r="23" spans="1:43" s="202" customFormat="1" ht="32.25" customHeight="1" hidden="1">
      <c r="A23" s="203"/>
      <c r="B23" s="204"/>
      <c r="C23" s="182"/>
      <c r="D23" s="205"/>
      <c r="E23" s="205"/>
      <c r="F23" s="206"/>
      <c r="G23" s="205"/>
      <c r="H23" s="167"/>
      <c r="I23" s="204"/>
      <c r="J23" s="205"/>
      <c r="K23" s="204"/>
      <c r="L23" s="205"/>
      <c r="M23" s="205"/>
      <c r="N23" s="205"/>
      <c r="O23" s="205"/>
      <c r="P23" s="205"/>
      <c r="Q23" s="206"/>
      <c r="R23" s="205"/>
      <c r="S23" s="207"/>
      <c r="T23" s="209"/>
      <c r="U23" s="249"/>
      <c r="V23" s="209"/>
      <c r="W23" s="197"/>
      <c r="X23" s="197"/>
      <c r="Y23" s="250"/>
      <c r="Z23" s="237"/>
      <c r="AA23" s="192"/>
      <c r="AB23" s="234"/>
      <c r="AC23" s="237"/>
      <c r="AD23" s="205"/>
      <c r="AE23" s="234"/>
      <c r="AF23" s="234"/>
      <c r="AG23" s="234"/>
      <c r="AH23" s="205"/>
      <c r="AI23" s="205"/>
      <c r="AJ23" s="205"/>
      <c r="AK23" s="234"/>
      <c r="AL23" s="234"/>
      <c r="AM23" s="234"/>
      <c r="AN23" s="234"/>
      <c r="AO23" s="212">
        <f>V22+AA23</f>
        <v>0</v>
      </c>
      <c r="AP23" s="241"/>
      <c r="AQ23" s="214" t="s">
        <v>282</v>
      </c>
    </row>
    <row r="24" spans="1:43" s="202" customFormat="1" ht="0.75" customHeight="1" hidden="1">
      <c r="A24" s="251"/>
      <c r="B24" s="216"/>
      <c r="C24" s="188"/>
      <c r="D24" s="218"/>
      <c r="E24" s="218"/>
      <c r="F24" s="219"/>
      <c r="G24" s="218"/>
      <c r="H24" s="217"/>
      <c r="I24" s="216"/>
      <c r="J24" s="218"/>
      <c r="K24" s="216"/>
      <c r="L24" s="218"/>
      <c r="M24" s="218"/>
      <c r="N24" s="218"/>
      <c r="O24" s="218"/>
      <c r="P24" s="218"/>
      <c r="Q24" s="219"/>
      <c r="R24" s="218"/>
      <c r="S24" s="220"/>
      <c r="T24" s="197">
        <v>120</v>
      </c>
      <c r="U24" s="226">
        <v>7</v>
      </c>
      <c r="V24" s="197">
        <f>T24*U24</f>
        <v>840</v>
      </c>
      <c r="W24" s="197"/>
      <c r="X24" s="197"/>
      <c r="Y24" s="252"/>
      <c r="Z24" s="253"/>
      <c r="AA24" s="192">
        <v>780</v>
      </c>
      <c r="AB24" s="253"/>
      <c r="AC24" s="254"/>
      <c r="AD24" s="255"/>
      <c r="AE24" s="253"/>
      <c r="AF24" s="253"/>
      <c r="AG24" s="253"/>
      <c r="AH24" s="255"/>
      <c r="AI24" s="255"/>
      <c r="AJ24" s="255"/>
      <c r="AK24" s="253"/>
      <c r="AL24" s="253"/>
      <c r="AM24" s="253"/>
      <c r="AN24" s="253"/>
      <c r="AO24" s="256"/>
      <c r="AP24" s="257"/>
      <c r="AQ24" s="224"/>
    </row>
    <row r="25" spans="1:43" s="202" customFormat="1" ht="27.75" customHeight="1">
      <c r="A25" s="225">
        <v>86</v>
      </c>
      <c r="B25" s="191">
        <f>AO25</f>
        <v>49085.846</v>
      </c>
      <c r="C25" s="242" t="s">
        <v>276</v>
      </c>
      <c r="D25" s="197">
        <v>39.92</v>
      </c>
      <c r="E25" s="197">
        <f>D25</f>
        <v>39.92</v>
      </c>
      <c r="F25" s="193">
        <v>12</v>
      </c>
      <c r="G25" s="192">
        <f>E25*12</f>
        <v>479.04</v>
      </c>
      <c r="H25" s="242">
        <v>0.054</v>
      </c>
      <c r="I25" s="226">
        <v>182</v>
      </c>
      <c r="J25" s="192">
        <f>H25*I25</f>
        <v>9.828</v>
      </c>
      <c r="K25" s="191">
        <v>12</v>
      </c>
      <c r="L25" s="192">
        <f>J25*12</f>
        <v>117.93599999999999</v>
      </c>
      <c r="M25" s="192"/>
      <c r="N25" s="192"/>
      <c r="O25" s="192"/>
      <c r="P25" s="192">
        <v>72.33</v>
      </c>
      <c r="Q25" s="193">
        <v>12</v>
      </c>
      <c r="R25" s="192">
        <f>P25*12</f>
        <v>867.96</v>
      </c>
      <c r="S25" s="196">
        <f>R25+L25+G25</f>
        <v>1464.9360000000001</v>
      </c>
      <c r="T25" s="197"/>
      <c r="U25" s="208"/>
      <c r="V25" s="197"/>
      <c r="W25" s="197">
        <f>V25</f>
        <v>0</v>
      </c>
      <c r="X25" s="197">
        <v>860.63</v>
      </c>
      <c r="Y25" s="198">
        <v>696</v>
      </c>
      <c r="Z25" s="191">
        <v>7</v>
      </c>
      <c r="AA25" s="192">
        <f>Y25*Z25</f>
        <v>4872</v>
      </c>
      <c r="AB25" s="192">
        <v>17098.82</v>
      </c>
      <c r="AC25" s="191">
        <v>3</v>
      </c>
      <c r="AD25" s="192">
        <f>AB25*AC25</f>
        <v>51296.46</v>
      </c>
      <c r="AE25" s="192"/>
      <c r="AF25" s="192"/>
      <c r="AG25" s="192"/>
      <c r="AH25" s="192"/>
      <c r="AI25" s="192"/>
      <c r="AJ25" s="192"/>
      <c r="AK25" s="199"/>
      <c r="AL25" s="199">
        <v>3153</v>
      </c>
      <c r="AM25" s="199">
        <f>946.86+177.6</f>
        <v>1124.46</v>
      </c>
      <c r="AN25" s="199">
        <v>20512</v>
      </c>
      <c r="AO25" s="196">
        <f>AN25+AM25+AL25+AK25+AB25+AA25+X25+S25+W25</f>
        <v>49085.846</v>
      </c>
      <c r="AP25" s="213"/>
      <c r="AQ25" s="229" t="s">
        <v>283</v>
      </c>
    </row>
    <row r="26" spans="1:43" s="202" customFormat="1" ht="17.25" customHeight="1">
      <c r="A26" s="203">
        <v>114</v>
      </c>
      <c r="B26" s="204">
        <f>AO26</f>
        <v>23023.408</v>
      </c>
      <c r="C26" s="167" t="s">
        <v>276</v>
      </c>
      <c r="D26" s="205">
        <v>35.89</v>
      </c>
      <c r="E26" s="205">
        <f>D26</f>
        <v>35.89</v>
      </c>
      <c r="F26" s="206">
        <v>12</v>
      </c>
      <c r="G26" s="205">
        <f>E26*12</f>
        <v>430.68</v>
      </c>
      <c r="H26" s="167">
        <v>0.054</v>
      </c>
      <c r="I26" s="204">
        <v>146</v>
      </c>
      <c r="J26" s="205">
        <f>H26*I26</f>
        <v>7.884</v>
      </c>
      <c r="K26" s="204">
        <v>12</v>
      </c>
      <c r="L26" s="205">
        <f>J26*12</f>
        <v>94.608</v>
      </c>
      <c r="M26" s="205"/>
      <c r="N26" s="205"/>
      <c r="O26" s="205"/>
      <c r="P26" s="205">
        <v>72.33</v>
      </c>
      <c r="Q26" s="206">
        <v>12</v>
      </c>
      <c r="R26" s="205">
        <f>P26*12</f>
        <v>867.96</v>
      </c>
      <c r="S26" s="207">
        <f>R26+L26+G26</f>
        <v>1393.248</v>
      </c>
      <c r="T26" s="197">
        <v>3550</v>
      </c>
      <c r="U26" s="226">
        <v>1</v>
      </c>
      <c r="V26" s="197">
        <f>T26</f>
        <v>3550</v>
      </c>
      <c r="W26" s="205">
        <f>V26+V27</f>
        <v>4450</v>
      </c>
      <c r="X26" s="209">
        <v>685.16</v>
      </c>
      <c r="Y26" s="210">
        <v>696</v>
      </c>
      <c r="Z26" s="204">
        <v>7</v>
      </c>
      <c r="AA26" s="205">
        <f>Y26*Z26</f>
        <v>4872</v>
      </c>
      <c r="AB26" s="205"/>
      <c r="AC26" s="197"/>
      <c r="AD26" s="197"/>
      <c r="AE26" s="234"/>
      <c r="AF26" s="234"/>
      <c r="AG26" s="234"/>
      <c r="AH26" s="205"/>
      <c r="AI26" s="205"/>
      <c r="AJ26" s="205"/>
      <c r="AK26" s="205">
        <v>5047</v>
      </c>
      <c r="AL26" s="205">
        <v>3219</v>
      </c>
      <c r="AM26" s="205">
        <f>645+148</f>
        <v>793</v>
      </c>
      <c r="AN26" s="205">
        <v>2564</v>
      </c>
      <c r="AO26" s="212">
        <f>AN26+AM26+AL26+AA26+X26+S26+W26+AK26</f>
        <v>23023.408</v>
      </c>
      <c r="AP26" s="213"/>
      <c r="AQ26" s="214" t="s">
        <v>284</v>
      </c>
    </row>
    <row r="27" spans="1:43" s="202" customFormat="1" ht="17.25" customHeight="1">
      <c r="A27" s="215"/>
      <c r="B27" s="216"/>
      <c r="C27" s="217"/>
      <c r="D27" s="218"/>
      <c r="E27" s="218"/>
      <c r="F27" s="219"/>
      <c r="G27" s="218"/>
      <c r="H27" s="217"/>
      <c r="I27" s="216"/>
      <c r="J27" s="218"/>
      <c r="K27" s="216"/>
      <c r="L27" s="106"/>
      <c r="M27" s="106"/>
      <c r="N27" s="106"/>
      <c r="O27" s="106"/>
      <c r="P27" s="106"/>
      <c r="Q27" s="106"/>
      <c r="R27" s="106"/>
      <c r="S27" s="108"/>
      <c r="T27" s="197">
        <v>150</v>
      </c>
      <c r="U27" s="221">
        <v>6</v>
      </c>
      <c r="V27" s="213">
        <f>T27*6</f>
        <v>900</v>
      </c>
      <c r="W27" s="104"/>
      <c r="X27" s="209"/>
      <c r="Y27" s="222"/>
      <c r="Z27" s="216"/>
      <c r="AA27" s="218"/>
      <c r="AB27" s="218"/>
      <c r="AC27" s="192"/>
      <c r="AD27" s="192"/>
      <c r="AE27" s="192"/>
      <c r="AF27" s="192"/>
      <c r="AG27" s="192"/>
      <c r="AH27" s="218"/>
      <c r="AI27" s="218"/>
      <c r="AJ27" s="218"/>
      <c r="AK27" s="218"/>
      <c r="AL27" s="218"/>
      <c r="AM27" s="218"/>
      <c r="AN27" s="218"/>
      <c r="AO27" s="223"/>
      <c r="AP27" s="213"/>
      <c r="AQ27" s="224"/>
    </row>
    <row r="28" spans="1:43" s="202" customFormat="1" ht="17.25" customHeight="1">
      <c r="A28" s="167">
        <v>115</v>
      </c>
      <c r="B28" s="249">
        <f>AO28</f>
        <v>68140.652</v>
      </c>
      <c r="C28" s="167" t="s">
        <v>267</v>
      </c>
      <c r="D28" s="209">
        <v>35.89</v>
      </c>
      <c r="E28" s="209">
        <f>D28*2</f>
        <v>71.78</v>
      </c>
      <c r="F28" s="258">
        <v>12</v>
      </c>
      <c r="G28" s="209">
        <f>E28*12</f>
        <v>861.36</v>
      </c>
      <c r="H28" s="166">
        <v>0.054</v>
      </c>
      <c r="I28" s="249">
        <v>194</v>
      </c>
      <c r="J28" s="209">
        <f>H28*I28</f>
        <v>10.475999999999999</v>
      </c>
      <c r="K28" s="249">
        <v>12</v>
      </c>
      <c r="L28" s="209">
        <f>J28*12</f>
        <v>125.71199999999999</v>
      </c>
      <c r="M28" s="209"/>
      <c r="N28" s="209"/>
      <c r="O28" s="209"/>
      <c r="P28" s="209">
        <v>72.33</v>
      </c>
      <c r="Q28" s="258">
        <v>12</v>
      </c>
      <c r="R28" s="209">
        <f>P28*12</f>
        <v>867.96</v>
      </c>
      <c r="S28" s="259">
        <f>R28+O30+L28+G28</f>
        <v>1855.0320000000002</v>
      </c>
      <c r="T28" s="205">
        <v>2296.52</v>
      </c>
      <c r="U28" s="204">
        <v>7</v>
      </c>
      <c r="V28" s="205">
        <f>T28*U28</f>
        <v>16075.64</v>
      </c>
      <c r="W28" s="205">
        <f>V28</f>
        <v>16075.64</v>
      </c>
      <c r="X28" s="205"/>
      <c r="Y28" s="209">
        <v>696</v>
      </c>
      <c r="Z28" s="249">
        <v>7</v>
      </c>
      <c r="AA28" s="209">
        <f>Y28*Z28</f>
        <v>4872</v>
      </c>
      <c r="AB28" s="209"/>
      <c r="AC28" s="197"/>
      <c r="AD28" s="197"/>
      <c r="AE28" s="205"/>
      <c r="AF28" s="205"/>
      <c r="AG28" s="205"/>
      <c r="AH28" s="209"/>
      <c r="AI28" s="209"/>
      <c r="AJ28" s="209"/>
      <c r="AK28" s="205">
        <v>5047</v>
      </c>
      <c r="AL28" s="209">
        <v>6372</v>
      </c>
      <c r="AM28" s="209">
        <f>2198.16+952.82</f>
        <v>3150.98</v>
      </c>
      <c r="AN28" s="209">
        <v>30768</v>
      </c>
      <c r="AO28" s="259">
        <f>AN28+AM28+AL28+AK28+AA28+V28+S28</f>
        <v>68140.652</v>
      </c>
      <c r="AP28" s="213"/>
      <c r="AQ28" s="214" t="s">
        <v>285</v>
      </c>
    </row>
    <row r="29" spans="1:60" s="264" customFormat="1" ht="18" customHeight="1">
      <c r="A29" s="171"/>
      <c r="B29" s="249"/>
      <c r="C29" s="171"/>
      <c r="D29" s="209"/>
      <c r="E29" s="209"/>
      <c r="F29" s="258"/>
      <c r="G29" s="209"/>
      <c r="H29" s="166"/>
      <c r="I29" s="249"/>
      <c r="J29" s="209"/>
      <c r="K29" s="249"/>
      <c r="L29" s="209"/>
      <c r="M29" s="209"/>
      <c r="N29" s="209"/>
      <c r="O29" s="209"/>
      <c r="P29" s="209"/>
      <c r="Q29" s="258"/>
      <c r="R29" s="209"/>
      <c r="S29" s="259"/>
      <c r="T29" s="260"/>
      <c r="U29" s="261"/>
      <c r="V29" s="260"/>
      <c r="W29" s="97"/>
      <c r="X29" s="218"/>
      <c r="Y29" s="209"/>
      <c r="Z29" s="249"/>
      <c r="AA29" s="209"/>
      <c r="AB29" s="209"/>
      <c r="AC29" s="197"/>
      <c r="AD29" s="209"/>
      <c r="AE29" s="218"/>
      <c r="AF29" s="218"/>
      <c r="AG29" s="218"/>
      <c r="AH29" s="209"/>
      <c r="AI29" s="209"/>
      <c r="AJ29" s="209"/>
      <c r="AK29" s="104"/>
      <c r="AL29" s="209"/>
      <c r="AM29" s="209"/>
      <c r="AN29" s="209"/>
      <c r="AO29" s="259"/>
      <c r="AP29" s="262"/>
      <c r="AQ29" s="263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43" s="202" customFormat="1" ht="3" customHeight="1" hidden="1">
      <c r="A30" s="171"/>
      <c r="B30" s="249"/>
      <c r="C30" s="171"/>
      <c r="D30" s="209"/>
      <c r="E30" s="209"/>
      <c r="F30" s="258"/>
      <c r="G30" s="209"/>
      <c r="H30" s="166"/>
      <c r="I30" s="249"/>
      <c r="J30" s="209"/>
      <c r="K30" s="249"/>
      <c r="L30" s="209"/>
      <c r="M30" s="209"/>
      <c r="N30" s="209"/>
      <c r="O30" s="209"/>
      <c r="P30" s="209"/>
      <c r="Q30" s="258"/>
      <c r="R30" s="209"/>
      <c r="S30" s="259"/>
      <c r="T30" s="218"/>
      <c r="U30" s="216"/>
      <c r="V30" s="218"/>
      <c r="W30" s="192"/>
      <c r="X30" s="197"/>
      <c r="Y30" s="209"/>
      <c r="Z30" s="249"/>
      <c r="AA30" s="209"/>
      <c r="AB30" s="209"/>
      <c r="AC30" s="197"/>
      <c r="AD30" s="209"/>
      <c r="AE30" s="197"/>
      <c r="AF30" s="197"/>
      <c r="AG30" s="197"/>
      <c r="AH30" s="209"/>
      <c r="AI30" s="265"/>
      <c r="AJ30" s="209"/>
      <c r="AK30" s="197"/>
      <c r="AL30" s="209"/>
      <c r="AM30" s="209"/>
      <c r="AN30" s="209"/>
      <c r="AO30" s="259"/>
      <c r="AP30" s="262"/>
      <c r="AQ30" s="263"/>
    </row>
    <row r="31" spans="1:43" s="202" customFormat="1" ht="30" customHeight="1" hidden="1">
      <c r="A31" s="217"/>
      <c r="B31" s="249"/>
      <c r="C31" s="217"/>
      <c r="D31" s="209"/>
      <c r="E31" s="209"/>
      <c r="F31" s="258"/>
      <c r="G31" s="209"/>
      <c r="H31" s="166"/>
      <c r="I31" s="249"/>
      <c r="J31" s="209"/>
      <c r="K31" s="249"/>
      <c r="L31" s="209"/>
      <c r="M31" s="265"/>
      <c r="N31" s="265"/>
      <c r="O31" s="265"/>
      <c r="P31" s="209"/>
      <c r="Q31" s="258"/>
      <c r="R31" s="209"/>
      <c r="S31" s="259"/>
      <c r="T31" s="197">
        <v>120</v>
      </c>
      <c r="U31" s="226">
        <v>7</v>
      </c>
      <c r="V31" s="197">
        <v>840</v>
      </c>
      <c r="W31" s="197"/>
      <c r="X31" s="197"/>
      <c r="Y31" s="197"/>
      <c r="Z31" s="197"/>
      <c r="AA31" s="197"/>
      <c r="AB31" s="197"/>
      <c r="AC31" s="197"/>
      <c r="AD31" s="209"/>
      <c r="AE31" s="197"/>
      <c r="AF31" s="197"/>
      <c r="AG31" s="197"/>
      <c r="AH31" s="209"/>
      <c r="AI31" s="265"/>
      <c r="AJ31" s="265"/>
      <c r="AK31" s="265"/>
      <c r="AL31" s="265"/>
      <c r="AM31" s="265"/>
      <c r="AN31" s="265"/>
      <c r="AO31" s="259"/>
      <c r="AP31" s="213"/>
      <c r="AQ31" s="224"/>
    </row>
    <row r="32" spans="1:43" s="202" customFormat="1" ht="24" customHeight="1">
      <c r="A32" s="225">
        <v>116</v>
      </c>
      <c r="B32" s="191">
        <f>AO32</f>
        <v>11834.53</v>
      </c>
      <c r="C32" s="242" t="s">
        <v>286</v>
      </c>
      <c r="D32" s="197">
        <v>35.89</v>
      </c>
      <c r="E32" s="197">
        <f>D32*2</f>
        <v>71.78</v>
      </c>
      <c r="F32" s="193">
        <v>12</v>
      </c>
      <c r="G32" s="192">
        <f>E32*F32</f>
        <v>861.36</v>
      </c>
      <c r="H32" s="242">
        <v>0.054</v>
      </c>
      <c r="I32" s="226">
        <v>155</v>
      </c>
      <c r="J32" s="192">
        <f>H32*I32</f>
        <v>8.37</v>
      </c>
      <c r="K32" s="191">
        <v>12</v>
      </c>
      <c r="L32" s="192">
        <f>J32*12</f>
        <v>100.44</v>
      </c>
      <c r="M32" s="192"/>
      <c r="N32" s="192"/>
      <c r="O32" s="192"/>
      <c r="P32" s="192">
        <v>72.33</v>
      </c>
      <c r="Q32" s="193">
        <v>12</v>
      </c>
      <c r="R32" s="192">
        <f>P32*12</f>
        <v>867.96</v>
      </c>
      <c r="S32" s="196">
        <f>R32+O32+L32+G32</f>
        <v>1829.7600000000002</v>
      </c>
      <c r="T32" s="197">
        <v>150</v>
      </c>
      <c r="U32" s="208">
        <v>7</v>
      </c>
      <c r="V32" s="197">
        <f>T32*U32</f>
        <v>1050</v>
      </c>
      <c r="W32" s="197">
        <f>V32</f>
        <v>1050</v>
      </c>
      <c r="X32" s="197">
        <v>1082.26</v>
      </c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9">
        <v>5047</v>
      </c>
      <c r="AL32" s="197">
        <v>1764</v>
      </c>
      <c r="AM32" s="197">
        <f>903+158.51</f>
        <v>1061.51</v>
      </c>
      <c r="AN32" s="197"/>
      <c r="AO32" s="245">
        <f>AM32+AL32+X32+S32+W32+AK32</f>
        <v>11834.53</v>
      </c>
      <c r="AP32" s="213"/>
      <c r="AQ32" s="229" t="s">
        <v>287</v>
      </c>
    </row>
    <row r="33" spans="1:43" s="202" customFormat="1" ht="24" customHeight="1">
      <c r="A33" s="203">
        <v>117</v>
      </c>
      <c r="B33" s="204">
        <f>AO33</f>
        <v>46030.852</v>
      </c>
      <c r="C33" s="182" t="s">
        <v>267</v>
      </c>
      <c r="D33" s="205">
        <v>35.89</v>
      </c>
      <c r="E33" s="205">
        <v>71.78</v>
      </c>
      <c r="F33" s="206">
        <v>12</v>
      </c>
      <c r="G33" s="205">
        <f>E33*12</f>
        <v>861.36</v>
      </c>
      <c r="H33" s="167">
        <v>0.054</v>
      </c>
      <c r="I33" s="204">
        <v>84</v>
      </c>
      <c r="J33" s="205">
        <f>H33*I33</f>
        <v>4.536</v>
      </c>
      <c r="K33" s="204">
        <v>12</v>
      </c>
      <c r="L33" s="205">
        <f>J33*12</f>
        <v>54.431999999999995</v>
      </c>
      <c r="M33" s="205"/>
      <c r="N33" s="205"/>
      <c r="O33" s="205"/>
      <c r="P33" s="205">
        <v>72.33</v>
      </c>
      <c r="Q33" s="206">
        <v>12</v>
      </c>
      <c r="R33" s="205">
        <f>P33*Q33</f>
        <v>867.96</v>
      </c>
      <c r="S33" s="207">
        <f>R33+O37+L33+G33</f>
        <v>1783.752</v>
      </c>
      <c r="T33" s="205">
        <v>2378.56</v>
      </c>
      <c r="U33" s="204">
        <v>6</v>
      </c>
      <c r="V33" s="205">
        <f>T33*U33</f>
        <v>14271.36</v>
      </c>
      <c r="W33" s="205">
        <f>V33+V34</f>
        <v>14271.36</v>
      </c>
      <c r="X33" s="209">
        <v>326.3</v>
      </c>
      <c r="Y33" s="210">
        <v>696</v>
      </c>
      <c r="Z33" s="204">
        <v>7</v>
      </c>
      <c r="AA33" s="205">
        <f>Y33*Z33</f>
        <v>4872</v>
      </c>
      <c r="AB33" s="205">
        <v>3984.96</v>
      </c>
      <c r="AC33" s="192"/>
      <c r="AD33" s="192"/>
      <c r="AE33" s="205">
        <v>800.4</v>
      </c>
      <c r="AF33" s="204">
        <v>11</v>
      </c>
      <c r="AG33" s="205">
        <f>AE33*AF33</f>
        <v>8804.4</v>
      </c>
      <c r="AH33" s="205"/>
      <c r="AI33" s="205"/>
      <c r="AJ33" s="205"/>
      <c r="AK33" s="205">
        <v>5047</v>
      </c>
      <c r="AL33" s="205">
        <v>3219</v>
      </c>
      <c r="AM33" s="205">
        <f>1010.08+148</f>
        <v>1158.08</v>
      </c>
      <c r="AN33" s="205">
        <v>2564</v>
      </c>
      <c r="AO33" s="212">
        <f>AN33+AM33+AL33+AG33+AB33+AA33+X33+S33+W33+AK33</f>
        <v>46030.852</v>
      </c>
      <c r="AP33" s="213"/>
      <c r="AQ33" s="214" t="s">
        <v>288</v>
      </c>
    </row>
    <row r="34" spans="1:43" s="202" customFormat="1" ht="15.75" customHeight="1">
      <c r="A34" s="266"/>
      <c r="B34" s="216"/>
      <c r="C34" s="188"/>
      <c r="D34" s="260"/>
      <c r="E34" s="260"/>
      <c r="F34" s="219"/>
      <c r="G34" s="218"/>
      <c r="H34" s="217"/>
      <c r="I34" s="261"/>
      <c r="J34" s="218"/>
      <c r="K34" s="216"/>
      <c r="L34" s="218"/>
      <c r="M34" s="218"/>
      <c r="N34" s="218"/>
      <c r="O34" s="218"/>
      <c r="P34" s="218"/>
      <c r="Q34" s="219"/>
      <c r="R34" s="218"/>
      <c r="S34" s="220"/>
      <c r="T34" s="218"/>
      <c r="U34" s="216"/>
      <c r="V34" s="218"/>
      <c r="W34" s="104"/>
      <c r="X34" s="209"/>
      <c r="Y34" s="222"/>
      <c r="Z34" s="216"/>
      <c r="AA34" s="218"/>
      <c r="AB34" s="218"/>
      <c r="AC34" s="226">
        <v>3</v>
      </c>
      <c r="AD34" s="197">
        <f>AB33*AC34</f>
        <v>11954.880000000001</v>
      </c>
      <c r="AE34" s="218"/>
      <c r="AF34" s="216"/>
      <c r="AG34" s="218"/>
      <c r="AH34" s="218"/>
      <c r="AI34" s="218"/>
      <c r="AJ34" s="218"/>
      <c r="AK34" s="218"/>
      <c r="AL34" s="218"/>
      <c r="AM34" s="218"/>
      <c r="AN34" s="218"/>
      <c r="AO34" s="223"/>
      <c r="AP34" s="213"/>
      <c r="AQ34" s="224"/>
    </row>
    <row r="35" spans="1:43" s="202" customFormat="1" ht="30" customHeight="1" hidden="1">
      <c r="A35" s="267"/>
      <c r="B35" s="204" t="e">
        <f>#REF!</f>
        <v>#REF!</v>
      </c>
      <c r="C35" s="268"/>
      <c r="D35" s="269"/>
      <c r="E35" s="269"/>
      <c r="F35" s="270"/>
      <c r="G35" s="269"/>
      <c r="H35" s="271"/>
      <c r="I35" s="272"/>
      <c r="J35" s="269"/>
      <c r="K35" s="272"/>
      <c r="L35" s="197"/>
      <c r="M35" s="197"/>
      <c r="N35" s="197"/>
      <c r="O35" s="197"/>
      <c r="P35" s="197"/>
      <c r="Q35" s="208"/>
      <c r="R35" s="197"/>
      <c r="S35" s="273"/>
      <c r="T35" s="221"/>
      <c r="U35" s="226"/>
      <c r="V35" s="197"/>
      <c r="W35" s="197"/>
      <c r="X35" s="197"/>
      <c r="Y35" s="244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245"/>
      <c r="AP35" s="213"/>
      <c r="AQ35" s="246"/>
    </row>
    <row r="36" spans="1:43" s="202" customFormat="1" ht="30" customHeight="1" hidden="1">
      <c r="A36" s="267"/>
      <c r="B36" s="216"/>
      <c r="C36" s="268"/>
      <c r="D36" s="269"/>
      <c r="E36" s="269"/>
      <c r="F36" s="270"/>
      <c r="G36" s="269"/>
      <c r="H36" s="271"/>
      <c r="I36" s="272"/>
      <c r="J36" s="269"/>
      <c r="K36" s="272"/>
      <c r="L36" s="197"/>
      <c r="M36" s="197"/>
      <c r="N36" s="197"/>
      <c r="O36" s="197"/>
      <c r="P36" s="197"/>
      <c r="Q36" s="208"/>
      <c r="R36" s="197"/>
      <c r="S36" s="273"/>
      <c r="T36" s="221"/>
      <c r="U36" s="226"/>
      <c r="V36" s="197"/>
      <c r="W36" s="197"/>
      <c r="X36" s="197"/>
      <c r="Y36" s="244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245"/>
      <c r="AP36" s="213"/>
      <c r="AQ36" s="246"/>
    </row>
    <row r="37" spans="1:43" s="202" customFormat="1" ht="30" customHeight="1" hidden="1">
      <c r="A37" s="274"/>
      <c r="B37" s="204">
        <f>AO38</f>
        <v>15183.887999999999</v>
      </c>
      <c r="C37" s="275"/>
      <c r="D37" s="276"/>
      <c r="E37" s="276"/>
      <c r="F37" s="277"/>
      <c r="G37" s="276"/>
      <c r="H37" s="278"/>
      <c r="I37" s="279"/>
      <c r="J37" s="276"/>
      <c r="K37" s="279"/>
      <c r="L37" s="197"/>
      <c r="M37" s="197"/>
      <c r="N37" s="197"/>
      <c r="O37" s="197"/>
      <c r="P37" s="197"/>
      <c r="Q37" s="208"/>
      <c r="R37" s="197"/>
      <c r="S37" s="273"/>
      <c r="T37" s="197"/>
      <c r="U37" s="197"/>
      <c r="V37" s="197"/>
      <c r="W37" s="197"/>
      <c r="X37" s="197"/>
      <c r="Y37" s="244"/>
      <c r="Z37" s="197"/>
      <c r="AA37" s="197"/>
      <c r="AB37" s="197"/>
      <c r="AC37" s="197"/>
      <c r="AD37" s="221"/>
      <c r="AE37" s="221"/>
      <c r="AF37" s="221"/>
      <c r="AG37" s="221"/>
      <c r="AH37" s="197"/>
      <c r="AI37" s="197"/>
      <c r="AJ37" s="197"/>
      <c r="AK37" s="197"/>
      <c r="AL37" s="197"/>
      <c r="AM37" s="197"/>
      <c r="AN37" s="197"/>
      <c r="AO37" s="221"/>
      <c r="AP37" s="213"/>
      <c r="AQ37" s="246"/>
    </row>
    <row r="38" spans="1:43" s="202" customFormat="1" ht="18.75" customHeight="1">
      <c r="A38" s="225">
        <v>131</v>
      </c>
      <c r="B38" s="216"/>
      <c r="C38" s="189" t="s">
        <v>263</v>
      </c>
      <c r="D38" s="197">
        <v>39.92</v>
      </c>
      <c r="E38" s="197">
        <f>D38</f>
        <v>39.92</v>
      </c>
      <c r="F38" s="193">
        <v>12</v>
      </c>
      <c r="G38" s="192">
        <f>E38*12</f>
        <v>479.04</v>
      </c>
      <c r="H38" s="242">
        <v>0.054</v>
      </c>
      <c r="I38" s="226">
        <v>156</v>
      </c>
      <c r="J38" s="192">
        <f>H38*I38</f>
        <v>8.424</v>
      </c>
      <c r="K38" s="191">
        <v>12</v>
      </c>
      <c r="L38" s="192">
        <f>J38*12</f>
        <v>101.088</v>
      </c>
      <c r="M38" s="192"/>
      <c r="N38" s="192"/>
      <c r="O38" s="192"/>
      <c r="P38" s="192">
        <v>72.33</v>
      </c>
      <c r="Q38" s="193">
        <v>12</v>
      </c>
      <c r="R38" s="192">
        <f>P38*Q38</f>
        <v>867.96</v>
      </c>
      <c r="S38" s="196">
        <f>R38+O38+L38+G38</f>
        <v>1448.088</v>
      </c>
      <c r="T38" s="197"/>
      <c r="U38" s="197"/>
      <c r="V38" s="197"/>
      <c r="W38" s="197"/>
      <c r="X38" s="197"/>
      <c r="Y38" s="198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9">
        <v>5047</v>
      </c>
      <c r="AL38" s="199">
        <v>6372</v>
      </c>
      <c r="AM38" s="199">
        <f>1849.86+466.94</f>
        <v>2316.7999999999997</v>
      </c>
      <c r="AN38" s="199"/>
      <c r="AO38" s="196">
        <f>AM38+AL38+AK38+S38</f>
        <v>15183.887999999999</v>
      </c>
      <c r="AP38" s="213"/>
      <c r="AQ38" s="201" t="s">
        <v>289</v>
      </c>
    </row>
    <row r="39" spans="1:43" s="202" customFormat="1" ht="21.75" customHeight="1">
      <c r="A39" s="225">
        <v>133</v>
      </c>
      <c r="B39" s="191">
        <f>AO39</f>
        <v>10257.35</v>
      </c>
      <c r="C39" s="242" t="s">
        <v>267</v>
      </c>
      <c r="D39" s="197">
        <v>35.89</v>
      </c>
      <c r="E39" s="197">
        <f>D39*2</f>
        <v>71.78</v>
      </c>
      <c r="F39" s="193">
        <v>12</v>
      </c>
      <c r="G39" s="192">
        <f>E39*12</f>
        <v>861.36</v>
      </c>
      <c r="H39" s="242">
        <v>0.054</v>
      </c>
      <c r="I39" s="226">
        <v>105</v>
      </c>
      <c r="J39" s="192">
        <f>H39*I39</f>
        <v>5.67</v>
      </c>
      <c r="K39" s="191">
        <v>12</v>
      </c>
      <c r="L39" s="192">
        <f>J39*12</f>
        <v>68.03999999999999</v>
      </c>
      <c r="M39" s="192"/>
      <c r="N39" s="192"/>
      <c r="O39" s="192"/>
      <c r="P39" s="192">
        <v>72.33</v>
      </c>
      <c r="Q39" s="193">
        <v>12</v>
      </c>
      <c r="R39" s="192">
        <f>P39*12</f>
        <v>867.96</v>
      </c>
      <c r="S39" s="196">
        <f>R39+O39+L39+G39</f>
        <v>1797.3600000000001</v>
      </c>
      <c r="T39" s="197"/>
      <c r="U39" s="197"/>
      <c r="V39" s="197"/>
      <c r="W39" s="197"/>
      <c r="X39" s="197"/>
      <c r="Y39" s="198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9"/>
      <c r="AL39" s="199">
        <v>6372</v>
      </c>
      <c r="AM39" s="199">
        <f>1736.34+351.65</f>
        <v>2087.99</v>
      </c>
      <c r="AN39" s="199"/>
      <c r="AO39" s="196">
        <f>AM39+AL39+AK39+S39</f>
        <v>10257.35</v>
      </c>
      <c r="AP39" s="213"/>
      <c r="AQ39" s="201" t="s">
        <v>290</v>
      </c>
    </row>
    <row r="40" spans="1:43" s="202" customFormat="1" ht="30.75" customHeight="1">
      <c r="A40" s="232">
        <v>134</v>
      </c>
      <c r="B40" s="191">
        <f>AO40</f>
        <v>15735.274</v>
      </c>
      <c r="C40" s="189" t="s">
        <v>267</v>
      </c>
      <c r="D40" s="197">
        <v>35.89</v>
      </c>
      <c r="E40" s="197">
        <f>D40*2</f>
        <v>71.78</v>
      </c>
      <c r="F40" s="193">
        <v>12</v>
      </c>
      <c r="G40" s="192">
        <f>E40*F40</f>
        <v>861.36</v>
      </c>
      <c r="H40" s="242">
        <v>0.054</v>
      </c>
      <c r="I40" s="226">
        <v>278</v>
      </c>
      <c r="J40" s="192">
        <f>H40*I40</f>
        <v>15.012</v>
      </c>
      <c r="K40" s="191">
        <v>12</v>
      </c>
      <c r="L40" s="192">
        <f>J40*12</f>
        <v>180.144</v>
      </c>
      <c r="M40" s="192">
        <v>1</v>
      </c>
      <c r="N40" s="193">
        <v>12</v>
      </c>
      <c r="O40" s="192">
        <f>M40*12</f>
        <v>12</v>
      </c>
      <c r="P40" s="192">
        <v>72.33</v>
      </c>
      <c r="Q40" s="193">
        <v>12</v>
      </c>
      <c r="R40" s="192">
        <f>P40*Q40</f>
        <v>867.96</v>
      </c>
      <c r="S40" s="196">
        <f>R40+O40+L40+G40</f>
        <v>1921.464</v>
      </c>
      <c r="T40" s="197"/>
      <c r="U40" s="197"/>
      <c r="V40" s="197"/>
      <c r="W40" s="197"/>
      <c r="X40" s="197"/>
      <c r="Y40" s="198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9">
        <v>5047</v>
      </c>
      <c r="AL40" s="199">
        <v>6372</v>
      </c>
      <c r="AM40" s="199">
        <f>1922.1+472.71</f>
        <v>2394.81</v>
      </c>
      <c r="AN40" s="199"/>
      <c r="AO40" s="196">
        <f>AM40+AL40+AK40+S40</f>
        <v>15735.274</v>
      </c>
      <c r="AP40" s="213"/>
      <c r="AQ40" s="229" t="s">
        <v>291</v>
      </c>
    </row>
    <row r="41" spans="1:43" s="202" customFormat="1" ht="27.75" customHeight="1">
      <c r="A41" s="232">
        <v>142</v>
      </c>
      <c r="B41" s="191">
        <f>AO41</f>
        <v>66289.534</v>
      </c>
      <c r="C41" s="236" t="s">
        <v>267</v>
      </c>
      <c r="D41" s="234">
        <v>35.89</v>
      </c>
      <c r="E41" s="236">
        <f>D41*2</f>
        <v>71.78</v>
      </c>
      <c r="F41" s="208">
        <v>12</v>
      </c>
      <c r="G41" s="197">
        <f>E41*12</f>
        <v>861.36</v>
      </c>
      <c r="H41" s="236">
        <v>0.054</v>
      </c>
      <c r="I41" s="237">
        <v>278</v>
      </c>
      <c r="J41" s="197">
        <f>H41*I41</f>
        <v>15.012</v>
      </c>
      <c r="K41" s="226">
        <v>12</v>
      </c>
      <c r="L41" s="197">
        <f>J41*12</f>
        <v>180.144</v>
      </c>
      <c r="M41" s="265">
        <v>1</v>
      </c>
      <c r="N41" s="208">
        <v>12</v>
      </c>
      <c r="O41" s="265">
        <f>M41*12</f>
        <v>12</v>
      </c>
      <c r="P41" s="197">
        <v>72.33</v>
      </c>
      <c r="Q41" s="208">
        <v>12</v>
      </c>
      <c r="R41" s="197">
        <f>P41*Q41</f>
        <v>867.96</v>
      </c>
      <c r="S41" s="280">
        <f>R41+O41+L41+G41</f>
        <v>1921.464</v>
      </c>
      <c r="T41" s="197"/>
      <c r="U41" s="226"/>
      <c r="V41" s="197"/>
      <c r="W41" s="197"/>
      <c r="X41" s="197"/>
      <c r="Y41" s="244"/>
      <c r="Z41" s="197"/>
      <c r="AA41" s="197"/>
      <c r="AB41" s="197"/>
      <c r="AC41" s="197"/>
      <c r="AD41" s="197"/>
      <c r="AE41" s="197"/>
      <c r="AF41" s="197"/>
      <c r="AG41" s="197"/>
      <c r="AH41" s="197">
        <v>4500</v>
      </c>
      <c r="AI41" s="226">
        <v>11</v>
      </c>
      <c r="AJ41" s="197">
        <f>AH41*AI41</f>
        <v>49500</v>
      </c>
      <c r="AK41" s="199">
        <v>5047</v>
      </c>
      <c r="AL41" s="197">
        <v>6372</v>
      </c>
      <c r="AM41" s="197">
        <f>2825.1+623.97</f>
        <v>3449.0699999999997</v>
      </c>
      <c r="AN41" s="197"/>
      <c r="AO41" s="196">
        <f>AM41+AL41+AJ41+S41+AK41</f>
        <v>66289.534</v>
      </c>
      <c r="AP41" s="213"/>
      <c r="AQ41" s="201" t="s">
        <v>292</v>
      </c>
    </row>
    <row r="42" spans="1:43" s="202" customFormat="1" ht="20.25" customHeight="1">
      <c r="A42" s="232" t="s">
        <v>293</v>
      </c>
      <c r="B42" s="191">
        <f>AO42</f>
        <v>44047.19</v>
      </c>
      <c r="C42" s="236"/>
      <c r="D42" s="234"/>
      <c r="E42" s="234"/>
      <c r="F42" s="208"/>
      <c r="G42" s="211"/>
      <c r="H42" s="236"/>
      <c r="I42" s="237"/>
      <c r="J42" s="211"/>
      <c r="K42" s="194"/>
      <c r="L42" s="211"/>
      <c r="M42" s="211"/>
      <c r="N42" s="211"/>
      <c r="O42" s="211"/>
      <c r="P42" s="211"/>
      <c r="Q42" s="235"/>
      <c r="R42" s="197"/>
      <c r="S42" s="280">
        <f>R42+O42+L42+G42</f>
        <v>0</v>
      </c>
      <c r="T42" s="197"/>
      <c r="U42" s="208"/>
      <c r="V42" s="197"/>
      <c r="W42" s="197">
        <f>V42</f>
        <v>0</v>
      </c>
      <c r="X42" s="197">
        <v>1049.8</v>
      </c>
      <c r="Y42" s="239">
        <v>696</v>
      </c>
      <c r="Z42" s="194">
        <v>7</v>
      </c>
      <c r="AA42" s="211">
        <f>Y42*Z42</f>
        <v>4872</v>
      </c>
      <c r="AB42" s="211">
        <v>24476.73</v>
      </c>
      <c r="AC42" s="194">
        <v>3</v>
      </c>
      <c r="AD42" s="211">
        <f>AB42*AC42</f>
        <v>73430.19</v>
      </c>
      <c r="AE42" s="211"/>
      <c r="AF42" s="211"/>
      <c r="AG42" s="211"/>
      <c r="AH42" s="211"/>
      <c r="AI42" s="211"/>
      <c r="AJ42" s="211"/>
      <c r="AK42" s="211"/>
      <c r="AL42" s="211">
        <v>1764</v>
      </c>
      <c r="AM42" s="211">
        <f>198.66+148</f>
        <v>346.65999999999997</v>
      </c>
      <c r="AN42" s="211">
        <v>11538</v>
      </c>
      <c r="AO42" s="196">
        <f>AN42+AM42+AL42+AB42+AA42+X42+W42</f>
        <v>44047.19</v>
      </c>
      <c r="AQ42" s="281" t="s">
        <v>294</v>
      </c>
    </row>
    <row r="43" spans="1:43" s="288" customFormat="1" ht="23.25" customHeight="1">
      <c r="A43" s="282" t="s">
        <v>48</v>
      </c>
      <c r="B43" s="283">
        <f>B11+B12+B14+B15+B16+B17+B18+B19+B20+B21+B22+B25+B26+B28+B32+B33+B37+B39+B40+B41+B42</f>
        <v>550316.794</v>
      </c>
      <c r="C43" s="284"/>
      <c r="D43" s="245"/>
      <c r="E43" s="245"/>
      <c r="F43" s="245"/>
      <c r="G43" s="245">
        <f>SUM(G11:G42)</f>
        <v>12819.240000000003</v>
      </c>
      <c r="H43" s="284"/>
      <c r="I43" s="284"/>
      <c r="J43" s="245"/>
      <c r="K43" s="245"/>
      <c r="L43" s="245">
        <f>SUM(L11:L42)</f>
        <v>1489.104</v>
      </c>
      <c r="M43" s="245"/>
      <c r="N43" s="245"/>
      <c r="O43" s="245">
        <f>O40+O41</f>
        <v>24</v>
      </c>
      <c r="P43" s="245"/>
      <c r="Q43" s="245"/>
      <c r="R43" s="245">
        <f>SUM(R11:R42)</f>
        <v>23748.479999999992</v>
      </c>
      <c r="S43" s="273">
        <f>SUM(S11:S42)</f>
        <v>38080.824</v>
      </c>
      <c r="T43" s="285"/>
      <c r="U43" s="285"/>
      <c r="V43" s="245"/>
      <c r="W43" s="245">
        <f>W12+W15+W19+W21+W25+W26+W28+W32+W33+W42</f>
        <v>44569.8</v>
      </c>
      <c r="X43" s="245">
        <f>X12+X15+X19+X25+X26+X29+X32+X33+X42</f>
        <v>13156.449999999997</v>
      </c>
      <c r="Y43" s="286"/>
      <c r="Z43" s="245"/>
      <c r="AA43" s="245">
        <f>AA12+AA15+AA19+AA21+AA25+AA26+AA28+AA33+AA42</f>
        <v>43848</v>
      </c>
      <c r="AB43" s="245">
        <f>SUM(AB11:AB42)</f>
        <v>53886.14</v>
      </c>
      <c r="AC43" s="245"/>
      <c r="AD43" s="245">
        <f>AD15+AD25+AD34+AD42</f>
        <v>147643.74</v>
      </c>
      <c r="AE43" s="245"/>
      <c r="AF43" s="245"/>
      <c r="AG43" s="245">
        <f>AG15+AG33</f>
        <v>19258.8</v>
      </c>
      <c r="AH43" s="245"/>
      <c r="AI43" s="245"/>
      <c r="AJ43" s="245">
        <f>AJ41</f>
        <v>49500</v>
      </c>
      <c r="AK43" s="245">
        <f>SUM(AK11:AK42)</f>
        <v>70661</v>
      </c>
      <c r="AL43" s="245">
        <f>AL11+AL12+AL14+AL15+AL16+AL17+AL18+AL19+AL20+AL21+AL22+AL25+AL26+AL28+AL32+AL33+AL38+AL39+AL40+AL41+AL42</f>
        <v>87930</v>
      </c>
      <c r="AM43" s="245">
        <f>SUM(AM11:AM42)</f>
        <v>34557.78</v>
      </c>
      <c r="AN43" s="245">
        <f>SUM(AN11:AN42)</f>
        <v>94868</v>
      </c>
      <c r="AO43" s="245">
        <f>SUM(AO11:AO42)</f>
        <v>550316.794</v>
      </c>
      <c r="AP43" s="245">
        <f>SUM(AP11:AP42)</f>
        <v>0</v>
      </c>
      <c r="AQ43" s="287"/>
    </row>
    <row r="44" spans="2:44" ht="14.25" customHeight="1">
      <c r="B44" s="289"/>
      <c r="C44" s="290"/>
      <c r="D44" s="290"/>
      <c r="E44" s="290"/>
      <c r="F44" s="290"/>
      <c r="G44" s="150"/>
      <c r="H44" s="150"/>
      <c r="I44" s="150"/>
      <c r="J44" s="150"/>
      <c r="K44" s="150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150"/>
      <c r="AP44" s="150"/>
      <c r="AQ44" s="150"/>
      <c r="AR44" s="292"/>
    </row>
    <row r="45" spans="3:45" ht="13.5" customHeight="1">
      <c r="C45" s="73"/>
      <c r="D45" s="73"/>
      <c r="E45" s="73"/>
      <c r="F45" s="73"/>
      <c r="G45" s="73"/>
      <c r="H45" s="73"/>
      <c r="I45" s="73"/>
      <c r="J45" s="73"/>
      <c r="K45" s="73"/>
      <c r="L45" s="293"/>
      <c r="M45" s="149"/>
      <c r="N45" s="149"/>
      <c r="O45" s="149"/>
      <c r="P45" s="149"/>
      <c r="Q45" s="149"/>
      <c r="R45" s="149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73"/>
      <c r="AP45" s="73"/>
      <c r="AQ45" s="73"/>
      <c r="AS45" s="36"/>
    </row>
    <row r="46" spans="1:45" ht="13.5" customHeight="1">
      <c r="A46" s="294" t="s">
        <v>230</v>
      </c>
      <c r="B46" s="294"/>
      <c r="C46" s="294"/>
      <c r="D46" s="294"/>
      <c r="E46" s="149"/>
      <c r="F46" s="149"/>
      <c r="G46" s="155" t="s">
        <v>295</v>
      </c>
      <c r="H46" s="73"/>
      <c r="L46" s="293"/>
      <c r="M46" s="149"/>
      <c r="N46" s="149"/>
      <c r="O46" s="149"/>
      <c r="P46" s="149"/>
      <c r="Q46" s="149"/>
      <c r="R46" s="149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73"/>
      <c r="AP46" s="73"/>
      <c r="AQ46" s="73"/>
      <c r="AS46" s="36"/>
    </row>
    <row r="47" spans="3:45" ht="15" customHeight="1">
      <c r="C47" s="73"/>
      <c r="D47" s="73"/>
      <c r="E47" s="73"/>
      <c r="F47" s="73"/>
      <c r="G47" s="73"/>
      <c r="H47" s="73"/>
      <c r="I47" s="73"/>
      <c r="J47" s="73"/>
      <c r="K47" s="73"/>
      <c r="T47" s="73"/>
      <c r="U47" s="73"/>
      <c r="V47" s="73"/>
      <c r="W47" s="73"/>
      <c r="X47" s="295"/>
      <c r="Y47" s="73"/>
      <c r="Z47" s="73"/>
      <c r="AA47" s="73"/>
      <c r="AB47" s="73"/>
      <c r="AC47" s="73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295"/>
      <c r="AP47" s="73"/>
      <c r="AQ47" s="73"/>
      <c r="AS47" s="36"/>
    </row>
    <row r="48" spans="3:45" ht="15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9"/>
      <c r="Q48" s="69"/>
      <c r="R48" s="69"/>
      <c r="S48" s="69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S48" s="36"/>
    </row>
    <row r="49" spans="3:45" ht="15" customHeight="1">
      <c r="C49" s="7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S49" s="36"/>
    </row>
    <row r="50" spans="3:45" ht="15">
      <c r="C50" s="73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S50" s="36"/>
    </row>
    <row r="51" spans="3:45" ht="12.75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36"/>
    </row>
    <row r="52" spans="3:43" ht="12.75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</row>
    <row r="53" spans="3:43" ht="12.75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</row>
    <row r="54" spans="3:43" ht="12.75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</row>
    <row r="55" spans="3:43" ht="12.75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</row>
    <row r="56" spans="3:43" ht="12.75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</row>
    <row r="57" spans="3:43" ht="12.75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</row>
    <row r="58" spans="3:43" ht="12.75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</row>
    <row r="59" spans="3:43" ht="24.75" customHeight="1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</row>
    <row r="60" spans="3:45" ht="24.75" customHeight="1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S60" s="36"/>
    </row>
    <row r="61" spans="3:45" ht="24.75" customHeight="1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S61" s="36"/>
    </row>
    <row r="62" spans="3:45" ht="24.75" customHeight="1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S62" s="36"/>
    </row>
    <row r="63" spans="3:43" ht="12.75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</row>
    <row r="64" spans="3:43" ht="12.75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</row>
    <row r="65" spans="3:43" ht="12.75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</row>
    <row r="66" spans="3:43" ht="12.75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</row>
    <row r="67" spans="3:43" ht="12.75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</row>
    <row r="68" spans="3:43" ht="12.75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</row>
    <row r="69" spans="3:43" ht="12.7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</row>
    <row r="70" spans="3:43" ht="12.75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</row>
    <row r="71" spans="3:43" ht="12.7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</row>
    <row r="72" spans="3:43" ht="12.7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</row>
    <row r="73" spans="3:43" ht="12.75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</row>
    <row r="74" spans="3:43" ht="12.75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</row>
    <row r="75" spans="3:43" ht="12.75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</row>
    <row r="76" spans="3:43" ht="12.75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</row>
    <row r="77" spans="3:43" ht="12.75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</row>
    <row r="78" spans="3:43" ht="12.75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</row>
    <row r="79" spans="3:43" ht="12.75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</row>
    <row r="80" spans="3:43" ht="12.75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</row>
    <row r="81" spans="3:43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</row>
    <row r="82" spans="3:43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</row>
    <row r="83" spans="3:43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</row>
    <row r="84" spans="3:43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</row>
    <row r="85" spans="3:43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</row>
    <row r="86" spans="3:43" ht="12.7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</row>
    <row r="87" spans="3:43" ht="12.75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</row>
    <row r="88" spans="3:43" ht="12.75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</row>
    <row r="89" spans="3:43" ht="12.75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</row>
    <row r="90" spans="3:43" ht="12.75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</row>
    <row r="91" spans="3:43" ht="12.75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</row>
    <row r="92" spans="3:43" ht="12.7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</row>
    <row r="93" spans="3:43" ht="12.7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</row>
    <row r="94" spans="3:43" ht="12.7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</row>
    <row r="95" spans="3:43" ht="12.75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</row>
    <row r="96" spans="3:43" ht="12.75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</row>
    <row r="97" spans="3:43" ht="12.75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</row>
    <row r="98" spans="3:43" ht="12.75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</row>
    <row r="99" spans="3:43" ht="12.75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</row>
    <row r="100" spans="3:43" ht="12.75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</row>
    <row r="101" spans="3:43" ht="12.75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</row>
    <row r="102" spans="3:43" ht="12.75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</row>
    <row r="103" spans="3:43" ht="12.75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</row>
    <row r="104" spans="3:43" ht="12.75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</row>
    <row r="105" spans="3:43" ht="12.75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</row>
    <row r="106" spans="3:43" ht="12.75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</row>
    <row r="107" spans="3:43" ht="12.75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</row>
    <row r="108" spans="3:43" ht="12.75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</row>
    <row r="109" spans="3:43" ht="12.75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</row>
    <row r="110" spans="3:43" ht="12.75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</row>
    <row r="111" spans="3:43" ht="12.75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</row>
    <row r="112" spans="3:43" ht="12.75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</row>
    <row r="113" spans="3:43" ht="12.75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</row>
    <row r="114" spans="3:43" ht="12.75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</row>
    <row r="115" spans="3:43" ht="12.75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</row>
    <row r="116" spans="3:43" ht="12.75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</row>
    <row r="117" spans="3:43" ht="12.75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</row>
    <row r="118" spans="3:43" ht="12.75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</row>
    <row r="119" spans="3:43" ht="12.75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</row>
    <row r="120" spans="3:43" ht="12.75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</row>
    <row r="121" spans="3:43" ht="12.75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</row>
    <row r="122" spans="3:43" ht="12.75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</row>
    <row r="123" spans="3:43" ht="12.75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</row>
    <row r="124" spans="3:43" ht="12.75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</row>
    <row r="125" spans="3:43" ht="12.75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</row>
    <row r="126" spans="3:43" ht="12.75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</row>
  </sheetData>
  <mergeCells count="218">
    <mergeCell ref="B35:B36"/>
    <mergeCell ref="B37:B38"/>
    <mergeCell ref="AM33:AM34"/>
    <mergeCell ref="AN33:AN34"/>
    <mergeCell ref="AO33:AO34"/>
    <mergeCell ref="AQ33:AQ34"/>
    <mergeCell ref="AI33:AI34"/>
    <mergeCell ref="AJ33:AJ34"/>
    <mergeCell ref="AK33:AK34"/>
    <mergeCell ref="AL33:AL34"/>
    <mergeCell ref="AE33:AE34"/>
    <mergeCell ref="AF33:AF34"/>
    <mergeCell ref="AG33:AG34"/>
    <mergeCell ref="AH33:AH34"/>
    <mergeCell ref="Y33:Y34"/>
    <mergeCell ref="Z33:Z34"/>
    <mergeCell ref="AA33:AA34"/>
    <mergeCell ref="AB33:AB34"/>
    <mergeCell ref="U33:U34"/>
    <mergeCell ref="V33:V34"/>
    <mergeCell ref="W33:W34"/>
    <mergeCell ref="X33:X34"/>
    <mergeCell ref="Q33:Q34"/>
    <mergeCell ref="R33:R34"/>
    <mergeCell ref="S33:S34"/>
    <mergeCell ref="T33:T34"/>
    <mergeCell ref="M33:M34"/>
    <mergeCell ref="N33:N34"/>
    <mergeCell ref="O33:O34"/>
    <mergeCell ref="P33:P34"/>
    <mergeCell ref="I33:I34"/>
    <mergeCell ref="J33:J34"/>
    <mergeCell ref="K33:K34"/>
    <mergeCell ref="L33:L34"/>
    <mergeCell ref="AD29:AD31"/>
    <mergeCell ref="AP29:AP30"/>
    <mergeCell ref="A33:A34"/>
    <mergeCell ref="B33:B34"/>
    <mergeCell ref="C33:C34"/>
    <mergeCell ref="D33:D34"/>
    <mergeCell ref="E33:E34"/>
    <mergeCell ref="F33:F34"/>
    <mergeCell ref="G33:G34"/>
    <mergeCell ref="H33:H34"/>
    <mergeCell ref="AM28:AM30"/>
    <mergeCell ref="AN28:AN30"/>
    <mergeCell ref="AO28:AO31"/>
    <mergeCell ref="AQ28:AQ31"/>
    <mergeCell ref="AI28:AI29"/>
    <mergeCell ref="AJ28:AJ30"/>
    <mergeCell ref="AK28:AK29"/>
    <mergeCell ref="AL28:AL30"/>
    <mergeCell ref="AE28:AE29"/>
    <mergeCell ref="AF28:AF29"/>
    <mergeCell ref="AG28:AG29"/>
    <mergeCell ref="AH28:AH31"/>
    <mergeCell ref="Y28:Y30"/>
    <mergeCell ref="Z28:Z30"/>
    <mergeCell ref="AA28:AA30"/>
    <mergeCell ref="AB28:AB30"/>
    <mergeCell ref="U28:U30"/>
    <mergeCell ref="V28:V30"/>
    <mergeCell ref="W28:W29"/>
    <mergeCell ref="X28:X29"/>
    <mergeCell ref="Q28:Q31"/>
    <mergeCell ref="R28:R31"/>
    <mergeCell ref="S28:S31"/>
    <mergeCell ref="T28:T30"/>
    <mergeCell ref="M28:M30"/>
    <mergeCell ref="N28:N30"/>
    <mergeCell ref="O28:O30"/>
    <mergeCell ref="P28:P31"/>
    <mergeCell ref="I28:I31"/>
    <mergeCell ref="J28:J31"/>
    <mergeCell ref="K28:K31"/>
    <mergeCell ref="L28:L31"/>
    <mergeCell ref="AO26:AO27"/>
    <mergeCell ref="AQ26:AQ27"/>
    <mergeCell ref="A28:A31"/>
    <mergeCell ref="B28:B31"/>
    <mergeCell ref="C28:C31"/>
    <mergeCell ref="D28:D31"/>
    <mergeCell ref="E28:E31"/>
    <mergeCell ref="F28:F31"/>
    <mergeCell ref="G28:G31"/>
    <mergeCell ref="H28:H31"/>
    <mergeCell ref="AK26:AK27"/>
    <mergeCell ref="AL26:AL27"/>
    <mergeCell ref="AM26:AM27"/>
    <mergeCell ref="AN26:AN27"/>
    <mergeCell ref="AB26:AB27"/>
    <mergeCell ref="AH26:AH27"/>
    <mergeCell ref="AI26:AI27"/>
    <mergeCell ref="AJ26:AJ27"/>
    <mergeCell ref="X26:X27"/>
    <mergeCell ref="Y26:Y27"/>
    <mergeCell ref="Z26:Z27"/>
    <mergeCell ref="AA26:AA27"/>
    <mergeCell ref="Q26:Q27"/>
    <mergeCell ref="R26:R27"/>
    <mergeCell ref="S26:S27"/>
    <mergeCell ref="W26:W27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Q23:Q24"/>
    <mergeCell ref="R23:R24"/>
    <mergeCell ref="S23:S24"/>
    <mergeCell ref="AD23:AD24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AO12:AO13"/>
    <mergeCell ref="AQ12:AQ13"/>
    <mergeCell ref="T22:T23"/>
    <mergeCell ref="U22:U23"/>
    <mergeCell ref="V22:V23"/>
    <mergeCell ref="AH23:AH24"/>
    <mergeCell ref="AI23:AI24"/>
    <mergeCell ref="AJ23:AJ24"/>
    <mergeCell ref="AO23:AO24"/>
    <mergeCell ref="AQ23:AQ24"/>
    <mergeCell ref="AK12:AK13"/>
    <mergeCell ref="AL12:AL13"/>
    <mergeCell ref="AM12:AM13"/>
    <mergeCell ref="AN12:AN13"/>
    <mergeCell ref="AB12:AB13"/>
    <mergeCell ref="AH12:AH13"/>
    <mergeCell ref="AI12:AI13"/>
    <mergeCell ref="AJ12:AJ13"/>
    <mergeCell ref="X12:X13"/>
    <mergeCell ref="Y12:Y13"/>
    <mergeCell ref="Z12:Z13"/>
    <mergeCell ref="AA12:AA13"/>
    <mergeCell ref="Q12:Q13"/>
    <mergeCell ref="R12:R13"/>
    <mergeCell ref="S12:S13"/>
    <mergeCell ref="W12:W13"/>
    <mergeCell ref="M12:M13"/>
    <mergeCell ref="N12:N13"/>
    <mergeCell ref="O12:O13"/>
    <mergeCell ref="P12:P13"/>
    <mergeCell ref="I12:I13"/>
    <mergeCell ref="J12:J13"/>
    <mergeCell ref="K12:K13"/>
    <mergeCell ref="L12:L13"/>
    <mergeCell ref="E12:E13"/>
    <mergeCell ref="F12:F13"/>
    <mergeCell ref="G12:G13"/>
    <mergeCell ref="H12:H13"/>
    <mergeCell ref="A12:A13"/>
    <mergeCell ref="B12:B13"/>
    <mergeCell ref="C12:C13"/>
    <mergeCell ref="D12:D13"/>
    <mergeCell ref="AM9:AM10"/>
    <mergeCell ref="AN9:AN10"/>
    <mergeCell ref="AO9:AO10"/>
    <mergeCell ref="AP9:AP10"/>
    <mergeCell ref="AE9:AG9"/>
    <mergeCell ref="AH9:AJ9"/>
    <mergeCell ref="AK9:AK10"/>
    <mergeCell ref="AL9:AL10"/>
    <mergeCell ref="T9:W9"/>
    <mergeCell ref="X9:X10"/>
    <mergeCell ref="Y9:AA9"/>
    <mergeCell ref="AB9:AB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D9:D10"/>
    <mergeCell ref="E9:E10"/>
    <mergeCell ref="F9:F10"/>
    <mergeCell ref="G9:G10"/>
    <mergeCell ref="A1:B1"/>
    <mergeCell ref="A3:AR3"/>
    <mergeCell ref="A4:AR4"/>
    <mergeCell ref="A6:A10"/>
    <mergeCell ref="B6:B10"/>
    <mergeCell ref="C6:AP7"/>
    <mergeCell ref="AQ6:AQ9"/>
    <mergeCell ref="C8:S8"/>
    <mergeCell ref="T8:AP8"/>
    <mergeCell ref="C9:C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N26" sqref="N26"/>
    </sheetView>
  </sheetViews>
  <sheetFormatPr defaultColWidth="9.125" defaultRowHeight="12.75"/>
  <cols>
    <col min="1" max="2" width="14.375" style="38" customWidth="1"/>
    <col min="3" max="3" width="10.75390625" style="38" customWidth="1"/>
    <col min="4" max="4" width="9.125" style="38" customWidth="1"/>
    <col min="5" max="5" width="12.75390625" style="38" customWidth="1"/>
    <col min="6" max="6" width="12.625" style="38" customWidth="1"/>
    <col min="7" max="16384" width="9.125" style="38" customWidth="1"/>
  </cols>
  <sheetData>
    <row r="1" spans="1:7" ht="12.75">
      <c r="A1" s="37" t="s">
        <v>164</v>
      </c>
      <c r="B1" s="37"/>
      <c r="C1" s="37"/>
      <c r="D1" s="37"/>
      <c r="E1" s="37"/>
      <c r="F1" s="37"/>
      <c r="G1" s="37"/>
    </row>
    <row r="3" ht="12.75">
      <c r="B3" s="38" t="s">
        <v>79</v>
      </c>
    </row>
    <row r="5" ht="12.75">
      <c r="G5" s="38" t="s">
        <v>63</v>
      </c>
    </row>
    <row r="6" spans="1:8" ht="25.5" customHeight="1">
      <c r="A6" s="49" t="s">
        <v>165</v>
      </c>
      <c r="B6" s="55" t="s">
        <v>152</v>
      </c>
      <c r="C6" s="55" t="s">
        <v>166</v>
      </c>
      <c r="D6" s="55"/>
      <c r="E6" s="61" t="s">
        <v>167</v>
      </c>
      <c r="F6" s="61"/>
      <c r="G6" s="61" t="s">
        <v>168</v>
      </c>
      <c r="H6" s="51"/>
    </row>
    <row r="7" spans="1:8" ht="54" customHeight="1">
      <c r="A7" s="49"/>
      <c r="B7" s="55"/>
      <c r="C7" s="49" t="s">
        <v>169</v>
      </c>
      <c r="D7" s="62">
        <v>0.0017</v>
      </c>
      <c r="E7" s="50" t="s">
        <v>170</v>
      </c>
      <c r="F7" s="50" t="s">
        <v>171</v>
      </c>
      <c r="G7" s="61"/>
      <c r="H7" s="51"/>
    </row>
    <row r="8" spans="1:7" ht="12.75">
      <c r="A8" s="39" t="s">
        <v>172</v>
      </c>
      <c r="B8" s="39">
        <v>58.855999999999995</v>
      </c>
      <c r="C8" s="39">
        <v>7.152</v>
      </c>
      <c r="D8" s="39">
        <v>0.012</v>
      </c>
      <c r="E8" s="39">
        <v>3.534</v>
      </c>
      <c r="F8" s="39">
        <v>2.117</v>
      </c>
      <c r="G8" s="39">
        <v>64.51899999999999</v>
      </c>
    </row>
    <row r="9" spans="1:7" ht="12.75">
      <c r="A9" s="39" t="s">
        <v>97</v>
      </c>
      <c r="B9" s="39">
        <v>50.285</v>
      </c>
      <c r="C9" s="39"/>
      <c r="D9" s="39"/>
      <c r="E9" s="39">
        <v>3.533</v>
      </c>
      <c r="F9" s="39">
        <v>2.117</v>
      </c>
      <c r="G9" s="39">
        <v>55.935</v>
      </c>
    </row>
    <row r="10" spans="1:7" ht="12.75">
      <c r="A10" s="39" t="s">
        <v>173</v>
      </c>
      <c r="B10" s="39">
        <v>109.14099999999999</v>
      </c>
      <c r="C10" s="39"/>
      <c r="D10" s="39">
        <v>0.012</v>
      </c>
      <c r="E10" s="39">
        <v>7.067</v>
      </c>
      <c r="F10" s="39">
        <v>4.234</v>
      </c>
      <c r="G10" s="39">
        <v>120.45399999999998</v>
      </c>
    </row>
    <row r="14" ht="12.75">
      <c r="A14" s="38" t="s">
        <v>65</v>
      </c>
    </row>
  </sheetData>
  <mergeCells count="5">
    <mergeCell ref="A1:G1"/>
    <mergeCell ref="B6:B7"/>
    <mergeCell ref="C6:D6"/>
    <mergeCell ref="E6:F6"/>
    <mergeCell ref="G6:G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4">
      <selection activeCell="M34" sqref="M34"/>
    </sheetView>
  </sheetViews>
  <sheetFormatPr defaultColWidth="9.00390625" defaultRowHeight="12.75"/>
  <cols>
    <col min="1" max="1" width="10.00390625" style="36" customWidth="1"/>
    <col min="2" max="2" width="10.25390625" style="36" customWidth="1"/>
    <col min="3" max="3" width="7.125" style="36" customWidth="1"/>
    <col min="4" max="4" width="7.375" style="36" customWidth="1"/>
    <col min="5" max="5" width="8.25390625" style="36" customWidth="1"/>
    <col min="6" max="6" width="7.25390625" style="36" customWidth="1"/>
    <col min="7" max="7" width="9.875" style="36" customWidth="1"/>
    <col min="8" max="8" width="8.375" style="36" customWidth="1"/>
    <col min="9" max="9" width="7.125" style="36" customWidth="1"/>
    <col min="10" max="10" width="8.00390625" style="36" customWidth="1"/>
    <col min="11" max="11" width="6.125" style="36" customWidth="1"/>
    <col min="12" max="12" width="8.25390625" style="36" customWidth="1"/>
    <col min="13" max="13" width="11.25390625" style="36" customWidth="1"/>
    <col min="14" max="14" width="7.25390625" style="36" customWidth="1"/>
    <col min="15" max="15" width="10.75390625" style="36" customWidth="1"/>
    <col min="16" max="16" width="11.375" style="36" customWidth="1"/>
    <col min="17" max="17" width="10.125" style="36" customWidth="1"/>
    <col min="18" max="18" width="7.625" style="36" customWidth="1"/>
    <col min="19" max="19" width="10.75390625" style="36" hidden="1" customWidth="1"/>
    <col min="20" max="20" width="10.75390625" style="36" customWidth="1"/>
    <col min="21" max="21" width="9.00390625" style="36" customWidth="1"/>
    <col min="22" max="22" width="7.875" style="36" customWidth="1"/>
    <col min="23" max="33" width="9.75390625" style="36" customWidth="1"/>
    <col min="34" max="34" width="10.875" style="36" customWidth="1"/>
    <col min="35" max="35" width="10.75390625" style="36" customWidth="1"/>
    <col min="36" max="40" width="12.875" style="36" customWidth="1"/>
    <col min="41" max="41" width="14.875" style="36" customWidth="1"/>
    <col min="42" max="42" width="13.00390625" style="36" customWidth="1"/>
    <col min="43" max="43" width="34.25390625" style="36" customWidth="1"/>
    <col min="44" max="44" width="12.25390625" style="36" customWidth="1"/>
    <col min="45" max="45" width="12.875" style="36" customWidth="1"/>
    <col min="46" max="46" width="16.625" style="36" customWidth="1"/>
    <col min="47" max="47" width="8.625" style="36" customWidth="1"/>
    <col min="48" max="16384" width="9.125" style="36" customWidth="1"/>
  </cols>
  <sheetData>
    <row r="1" spans="1:46" ht="18">
      <c r="A1" s="296" t="s">
        <v>298</v>
      </c>
      <c r="B1" s="296"/>
      <c r="C1" s="158"/>
      <c r="D1" s="158"/>
      <c r="E1" s="158"/>
      <c r="F1" s="15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</row>
    <row r="2" spans="1:46" ht="19.5" customHeight="1">
      <c r="A2" s="158"/>
      <c r="B2" s="158"/>
      <c r="C2" s="158"/>
      <c r="D2" s="158"/>
      <c r="E2" s="158"/>
      <c r="F2" s="158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1:46" ht="19.5" customHeight="1">
      <c r="A3" s="160"/>
      <c r="B3" s="160"/>
      <c r="C3" s="160"/>
      <c r="D3" s="160"/>
      <c r="E3" s="160"/>
      <c r="F3" s="160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70" ht="24.75" customHeight="1">
      <c r="A4" s="161" t="s">
        <v>326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</row>
    <row r="5" spans="1:70" ht="24.75" customHeight="1">
      <c r="A5" s="161" t="s">
        <v>299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</row>
    <row r="6" ht="21.75" customHeight="1" thickBot="1"/>
    <row r="7" spans="1:44" ht="24.75" customHeight="1" thickBot="1">
      <c r="A7" s="297" t="s">
        <v>179</v>
      </c>
      <c r="B7" s="298" t="s">
        <v>300</v>
      </c>
      <c r="C7" s="299" t="s">
        <v>301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1"/>
      <c r="X7" s="302"/>
      <c r="Y7" s="303"/>
      <c r="Z7" s="303"/>
      <c r="AA7" s="303"/>
      <c r="AB7" s="303"/>
      <c r="AC7" s="303"/>
      <c r="AD7" s="303"/>
      <c r="AE7" s="303"/>
      <c r="AF7" s="303"/>
      <c r="AG7" s="304"/>
      <c r="AH7" s="305" t="s">
        <v>302</v>
      </c>
      <c r="AI7" s="306" t="s">
        <v>303</v>
      </c>
      <c r="AJ7" s="307" t="s">
        <v>304</v>
      </c>
      <c r="AK7" s="308" t="s">
        <v>305</v>
      </c>
      <c r="AL7" s="308" t="s">
        <v>306</v>
      </c>
      <c r="AM7" s="309" t="s">
        <v>307</v>
      </c>
      <c r="AN7" s="310"/>
      <c r="AO7" s="306" t="s">
        <v>187</v>
      </c>
      <c r="AP7" s="306" t="s">
        <v>308</v>
      </c>
      <c r="AQ7" s="311" t="s">
        <v>188</v>
      </c>
      <c r="AR7" s="312"/>
    </row>
    <row r="8" spans="1:44" ht="43.5" customHeight="1" thickBot="1">
      <c r="A8" s="313"/>
      <c r="B8" s="313"/>
      <c r="C8" s="314" t="s">
        <v>189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6"/>
      <c r="Q8" s="317" t="s">
        <v>309</v>
      </c>
      <c r="R8" s="318"/>
      <c r="S8" s="318"/>
      <c r="T8" s="319"/>
      <c r="U8" s="320" t="s">
        <v>310</v>
      </c>
      <c r="V8" s="321"/>
      <c r="W8" s="321"/>
      <c r="X8" s="320" t="s">
        <v>311</v>
      </c>
      <c r="Y8" s="321"/>
      <c r="Z8" s="322"/>
      <c r="AA8" s="323" t="s">
        <v>312</v>
      </c>
      <c r="AB8" s="320" t="s">
        <v>313</v>
      </c>
      <c r="AC8" s="321"/>
      <c r="AD8" s="322"/>
      <c r="AE8" s="323" t="s">
        <v>251</v>
      </c>
      <c r="AF8" s="323" t="s">
        <v>314</v>
      </c>
      <c r="AG8" s="320" t="s">
        <v>252</v>
      </c>
      <c r="AH8" s="323"/>
      <c r="AI8" s="323"/>
      <c r="AJ8" s="172"/>
      <c r="AK8" s="324"/>
      <c r="AL8" s="324"/>
      <c r="AM8" s="263"/>
      <c r="AN8" s="323" t="s">
        <v>315</v>
      </c>
      <c r="AO8" s="323"/>
      <c r="AP8" s="323"/>
      <c r="AQ8" s="325"/>
      <c r="AR8" s="312"/>
    </row>
    <row r="9" spans="1:43" ht="111" customHeight="1">
      <c r="A9" s="313"/>
      <c r="B9" s="313"/>
      <c r="C9" s="326" t="s">
        <v>197</v>
      </c>
      <c r="D9" s="327" t="s">
        <v>198</v>
      </c>
      <c r="E9" s="327" t="s">
        <v>199</v>
      </c>
      <c r="F9" s="306" t="s">
        <v>200</v>
      </c>
      <c r="G9" s="328" t="s">
        <v>201</v>
      </c>
      <c r="H9" s="329" t="s">
        <v>316</v>
      </c>
      <c r="I9" s="330" t="s">
        <v>203</v>
      </c>
      <c r="J9" s="330" t="s">
        <v>204</v>
      </c>
      <c r="K9" s="306" t="s">
        <v>200</v>
      </c>
      <c r="L9" s="328" t="s">
        <v>327</v>
      </c>
      <c r="M9" s="331" t="s">
        <v>208</v>
      </c>
      <c r="N9" s="306" t="s">
        <v>200</v>
      </c>
      <c r="O9" s="332" t="s">
        <v>240</v>
      </c>
      <c r="P9" s="333" t="s">
        <v>317</v>
      </c>
      <c r="Q9" s="334"/>
      <c r="R9" s="335"/>
      <c r="S9" s="335"/>
      <c r="T9" s="336"/>
      <c r="U9" s="337"/>
      <c r="V9" s="338"/>
      <c r="W9" s="338"/>
      <c r="X9" s="337"/>
      <c r="Y9" s="338"/>
      <c r="Z9" s="339"/>
      <c r="AA9" s="323"/>
      <c r="AB9" s="337"/>
      <c r="AC9" s="338"/>
      <c r="AD9" s="339"/>
      <c r="AE9" s="323"/>
      <c r="AF9" s="323"/>
      <c r="AG9" s="320"/>
      <c r="AH9" s="323"/>
      <c r="AI9" s="323"/>
      <c r="AJ9" s="172"/>
      <c r="AK9" s="324"/>
      <c r="AL9" s="324"/>
      <c r="AM9" s="263"/>
      <c r="AN9" s="323"/>
      <c r="AO9" s="323"/>
      <c r="AP9" s="323"/>
      <c r="AQ9" s="325"/>
    </row>
    <row r="10" spans="1:43" ht="43.5" customHeight="1">
      <c r="A10" s="340"/>
      <c r="B10" s="340"/>
      <c r="C10" s="341"/>
      <c r="D10" s="342"/>
      <c r="E10" s="342"/>
      <c r="F10" s="188"/>
      <c r="G10" s="343"/>
      <c r="H10" s="344"/>
      <c r="I10" s="345"/>
      <c r="J10" s="345"/>
      <c r="K10" s="188"/>
      <c r="L10" s="343"/>
      <c r="M10" s="346"/>
      <c r="N10" s="188"/>
      <c r="O10" s="347"/>
      <c r="P10" s="348"/>
      <c r="Q10" s="349" t="s">
        <v>254</v>
      </c>
      <c r="R10" s="350" t="s">
        <v>200</v>
      </c>
      <c r="S10" s="350" t="s">
        <v>257</v>
      </c>
      <c r="T10" s="351" t="s">
        <v>318</v>
      </c>
      <c r="U10" s="352" t="s">
        <v>254</v>
      </c>
      <c r="V10" s="353" t="s">
        <v>200</v>
      </c>
      <c r="W10" s="354" t="s">
        <v>319</v>
      </c>
      <c r="X10" s="352" t="s">
        <v>254</v>
      </c>
      <c r="Y10" s="353" t="s">
        <v>200</v>
      </c>
      <c r="Z10" s="354" t="s">
        <v>319</v>
      </c>
      <c r="AA10" s="188"/>
      <c r="AB10" s="352" t="s">
        <v>254</v>
      </c>
      <c r="AC10" s="353" t="s">
        <v>200</v>
      </c>
      <c r="AD10" s="354" t="s">
        <v>319</v>
      </c>
      <c r="AE10" s="188"/>
      <c r="AF10" s="188"/>
      <c r="AG10" s="337"/>
      <c r="AH10" s="188"/>
      <c r="AI10" s="188"/>
      <c r="AJ10" s="172"/>
      <c r="AK10" s="324"/>
      <c r="AL10" s="324"/>
      <c r="AM10" s="224"/>
      <c r="AN10" s="188"/>
      <c r="AO10" s="188"/>
      <c r="AP10" s="188"/>
      <c r="AQ10" s="355"/>
    </row>
    <row r="11" spans="1:43" ht="31.5" customHeight="1">
      <c r="A11" s="356" t="s">
        <v>320</v>
      </c>
      <c r="B11" s="357">
        <f>AP11</f>
        <v>58856.240000000005</v>
      </c>
      <c r="C11" s="172" t="s">
        <v>321</v>
      </c>
      <c r="D11" s="358" t="s">
        <v>322</v>
      </c>
      <c r="E11" s="358">
        <v>43.75</v>
      </c>
      <c r="F11" s="359">
        <v>12</v>
      </c>
      <c r="G11" s="358">
        <f>E11*F11</f>
        <v>525</v>
      </c>
      <c r="H11" s="172"/>
      <c r="I11" s="360"/>
      <c r="J11" s="358"/>
      <c r="K11" s="359"/>
      <c r="L11" s="358"/>
      <c r="M11" s="358">
        <v>72.33</v>
      </c>
      <c r="N11" s="359">
        <v>12</v>
      </c>
      <c r="O11" s="358">
        <f>M11*N11</f>
        <v>867.96</v>
      </c>
      <c r="P11" s="361">
        <f>G11+L11+O11</f>
        <v>1392.96</v>
      </c>
      <c r="Q11" s="362">
        <v>555.98</v>
      </c>
      <c r="R11" s="363">
        <v>11</v>
      </c>
      <c r="S11" s="364">
        <f>Q11*R11</f>
        <v>6115.780000000001</v>
      </c>
      <c r="T11" s="364"/>
      <c r="U11" s="358">
        <v>506</v>
      </c>
      <c r="V11" s="166">
        <v>12</v>
      </c>
      <c r="W11" s="259">
        <f>U11*12</f>
        <v>6072</v>
      </c>
      <c r="X11" s="212"/>
      <c r="Y11" s="212"/>
      <c r="Z11" s="212"/>
      <c r="AA11" s="212"/>
      <c r="AB11" s="212"/>
      <c r="AC11" s="212"/>
      <c r="AD11" s="212"/>
      <c r="AE11" s="209">
        <v>2205</v>
      </c>
      <c r="AF11" s="209">
        <v>620.5</v>
      </c>
      <c r="AG11" s="212"/>
      <c r="AH11" s="259">
        <f>AF11+AE11+W11+S11+P11</f>
        <v>16406.24</v>
      </c>
      <c r="AI11" s="209">
        <v>3500</v>
      </c>
      <c r="AJ11" s="209">
        <v>350</v>
      </c>
      <c r="AK11" s="209">
        <v>3000</v>
      </c>
      <c r="AL11" s="209"/>
      <c r="AM11" s="205">
        <v>20000</v>
      </c>
      <c r="AN11" s="205">
        <v>15000</v>
      </c>
      <c r="AO11" s="205">
        <v>600</v>
      </c>
      <c r="AP11" s="259">
        <f>AH11+AI11+AJ11+AK11+AL11+AM11+AN11+AO11</f>
        <v>58856.240000000005</v>
      </c>
      <c r="AQ11" s="365" t="s">
        <v>323</v>
      </c>
    </row>
    <row r="12" spans="1:43" s="160" customFormat="1" ht="24.75" customHeight="1" thickBot="1">
      <c r="A12" s="356"/>
      <c r="B12" s="357"/>
      <c r="C12" s="172"/>
      <c r="D12" s="358"/>
      <c r="E12" s="358"/>
      <c r="F12" s="359"/>
      <c r="G12" s="358"/>
      <c r="H12" s="172"/>
      <c r="I12" s="360"/>
      <c r="J12" s="358"/>
      <c r="K12" s="359"/>
      <c r="L12" s="358"/>
      <c r="M12" s="358"/>
      <c r="N12" s="359"/>
      <c r="O12" s="358"/>
      <c r="P12" s="361"/>
      <c r="Q12" s="362"/>
      <c r="R12" s="363"/>
      <c r="S12" s="364"/>
      <c r="T12" s="364"/>
      <c r="U12" s="358"/>
      <c r="V12" s="166"/>
      <c r="W12" s="259"/>
      <c r="X12" s="223"/>
      <c r="Y12" s="223"/>
      <c r="Z12" s="223"/>
      <c r="AA12" s="223"/>
      <c r="AB12" s="223"/>
      <c r="AC12" s="223"/>
      <c r="AD12" s="223"/>
      <c r="AE12" s="209"/>
      <c r="AF12" s="209"/>
      <c r="AG12" s="223"/>
      <c r="AH12" s="259"/>
      <c r="AI12" s="209"/>
      <c r="AJ12" s="209"/>
      <c r="AK12" s="209"/>
      <c r="AL12" s="209"/>
      <c r="AM12" s="218"/>
      <c r="AN12" s="104"/>
      <c r="AO12" s="104"/>
      <c r="AP12" s="259"/>
      <c r="AQ12" s="316"/>
    </row>
    <row r="13" spans="1:47" ht="21.75" customHeight="1" hidden="1">
      <c r="A13" s="366"/>
      <c r="B13" s="357">
        <f>AP13</f>
        <v>50284.728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8">
        <f>SUM(N13:AJ13)</f>
        <v>0</v>
      </c>
      <c r="AL13" s="368"/>
      <c r="AM13" s="368"/>
      <c r="AN13" s="205">
        <v>15000</v>
      </c>
      <c r="AO13" s="368"/>
      <c r="AP13" s="259">
        <f>AH14+AI14+AJ14+AL14+AN13+AO14</f>
        <v>50284.728</v>
      </c>
      <c r="AQ13" s="369"/>
      <c r="AR13" s="292"/>
      <c r="AS13" s="292"/>
      <c r="AT13" s="292"/>
      <c r="AU13" s="312"/>
    </row>
    <row r="14" spans="1:43" ht="49.5" customHeight="1" thickBot="1">
      <c r="A14" s="370" t="s">
        <v>97</v>
      </c>
      <c r="B14" s="357"/>
      <c r="C14" s="371" t="s">
        <v>217</v>
      </c>
      <c r="D14" s="372">
        <v>35.89</v>
      </c>
      <c r="E14" s="234">
        <f>35.89*2</f>
        <v>71.78</v>
      </c>
      <c r="F14" s="373">
        <v>12</v>
      </c>
      <c r="G14" s="234">
        <f>E14*12</f>
        <v>861.36</v>
      </c>
      <c r="H14" s="236">
        <v>0.054</v>
      </c>
      <c r="I14" s="237">
        <v>211</v>
      </c>
      <c r="J14" s="234">
        <f>H14*I14</f>
        <v>11.394</v>
      </c>
      <c r="K14" s="237">
        <v>12</v>
      </c>
      <c r="L14" s="234">
        <f>J14*12</f>
        <v>136.728</v>
      </c>
      <c r="M14" s="234"/>
      <c r="N14" s="234"/>
      <c r="O14" s="234"/>
      <c r="P14" s="374">
        <f>G14+L14</f>
        <v>998.088</v>
      </c>
      <c r="Q14" s="373"/>
      <c r="R14" s="234"/>
      <c r="S14" s="374" t="e">
        <f>#REF!+L14+G14</f>
        <v>#REF!</v>
      </c>
      <c r="T14" s="375"/>
      <c r="U14" s="375"/>
      <c r="V14" s="375"/>
      <c r="W14" s="375"/>
      <c r="X14" s="241">
        <v>3550</v>
      </c>
      <c r="Y14" s="376">
        <v>1</v>
      </c>
      <c r="Z14" s="241">
        <f>X14*Y14</f>
        <v>3550</v>
      </c>
      <c r="AA14" s="241">
        <v>100</v>
      </c>
      <c r="AB14" s="241">
        <v>696</v>
      </c>
      <c r="AC14" s="376">
        <v>7</v>
      </c>
      <c r="AD14" s="241">
        <f>AB14*AC14</f>
        <v>4872</v>
      </c>
      <c r="AE14" s="241">
        <v>1764</v>
      </c>
      <c r="AF14" s="241">
        <v>536.64</v>
      </c>
      <c r="AG14" s="241">
        <v>2564</v>
      </c>
      <c r="AH14" s="374">
        <f>AG14+AF14+AE14+AD14+AA14+Z14+P14</f>
        <v>14384.728</v>
      </c>
      <c r="AI14" s="241">
        <v>5000</v>
      </c>
      <c r="AJ14" s="241">
        <v>300</v>
      </c>
      <c r="AK14" s="241"/>
      <c r="AL14" s="241">
        <v>15000</v>
      </c>
      <c r="AM14" s="234"/>
      <c r="AN14" s="104"/>
      <c r="AO14" s="234">
        <v>600</v>
      </c>
      <c r="AP14" s="259"/>
      <c r="AQ14" s="377" t="s">
        <v>324</v>
      </c>
    </row>
    <row r="15" spans="1:43" ht="33" customHeight="1" thickBot="1">
      <c r="A15" s="378" t="s">
        <v>48</v>
      </c>
      <c r="B15" s="379">
        <f>B11+B13</f>
        <v>109140.96800000001</v>
      </c>
      <c r="C15" s="380"/>
      <c r="D15" s="381"/>
      <c r="E15" s="382"/>
      <c r="F15" s="383"/>
      <c r="G15" s="382">
        <f>G11+G14</f>
        <v>1386.3600000000001</v>
      </c>
      <c r="H15" s="384"/>
      <c r="I15" s="385"/>
      <c r="J15" s="382"/>
      <c r="K15" s="385"/>
      <c r="L15" s="382">
        <f>L14</f>
        <v>136.728</v>
      </c>
      <c r="M15" s="382"/>
      <c r="N15" s="382"/>
      <c r="O15" s="382"/>
      <c r="P15" s="386">
        <f>P11+P14</f>
        <v>2391.048</v>
      </c>
      <c r="Q15" s="383"/>
      <c r="R15" s="382"/>
      <c r="S15" s="386"/>
      <c r="T15" s="384">
        <f>S11</f>
        <v>6115.780000000001</v>
      </c>
      <c r="U15" s="384"/>
      <c r="V15" s="384"/>
      <c r="W15" s="382">
        <f>W11</f>
        <v>6072</v>
      </c>
      <c r="X15" s="384"/>
      <c r="Y15" s="384"/>
      <c r="Z15" s="382">
        <f>Z14</f>
        <v>3550</v>
      </c>
      <c r="AA15" s="382">
        <f>AA14</f>
        <v>100</v>
      </c>
      <c r="AB15" s="384"/>
      <c r="AC15" s="384"/>
      <c r="AD15" s="382">
        <f>AD14</f>
        <v>4872</v>
      </c>
      <c r="AE15" s="382">
        <f>AE11+AE14</f>
        <v>3969</v>
      </c>
      <c r="AF15" s="382">
        <f>AF11+AF14</f>
        <v>1157.1399999999999</v>
      </c>
      <c r="AG15" s="382">
        <f>AG14</f>
        <v>2564</v>
      </c>
      <c r="AH15" s="386">
        <f aca="true" t="shared" si="0" ref="AH15:AM15">AH11+AH14</f>
        <v>30790.968</v>
      </c>
      <c r="AI15" s="382">
        <f t="shared" si="0"/>
        <v>8500</v>
      </c>
      <c r="AJ15" s="382">
        <f t="shared" si="0"/>
        <v>650</v>
      </c>
      <c r="AK15" s="382">
        <f t="shared" si="0"/>
        <v>3000</v>
      </c>
      <c r="AL15" s="382">
        <f t="shared" si="0"/>
        <v>15000</v>
      </c>
      <c r="AM15" s="382">
        <f t="shared" si="0"/>
        <v>20000</v>
      </c>
      <c r="AN15" s="382">
        <f>AN11+AN13</f>
        <v>30000</v>
      </c>
      <c r="AO15" s="382">
        <f>AO11+AO14</f>
        <v>1200</v>
      </c>
      <c r="AP15" s="387">
        <f>AP11+AP13</f>
        <v>109140.96800000001</v>
      </c>
      <c r="AQ15" s="388"/>
    </row>
    <row r="16" spans="3:42" ht="21.75" customHeight="1">
      <c r="C16" s="160"/>
      <c r="D16" s="160"/>
      <c r="E16" s="160"/>
      <c r="F16" s="160"/>
      <c r="G16" s="160"/>
      <c r="L16" s="389"/>
      <c r="M16" s="389"/>
      <c r="R16" s="160"/>
      <c r="S16" s="390" t="s">
        <v>325</v>
      </c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</row>
    <row r="17" spans="4:42" ht="21.75" customHeight="1">
      <c r="D17" s="160"/>
      <c r="E17" s="160"/>
      <c r="F17" s="160"/>
      <c r="G17" s="160"/>
      <c r="H17" s="160"/>
      <c r="I17" s="160"/>
      <c r="J17" s="160"/>
      <c r="K17" s="391"/>
      <c r="L17" s="391"/>
      <c r="M17" s="391"/>
      <c r="N17" s="391"/>
      <c r="O17" s="391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</row>
    <row r="18" spans="4:15" ht="21.75" customHeight="1"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0" ht="21.75" customHeight="1">
      <c r="A19" s="160" t="s">
        <v>230</v>
      </c>
      <c r="B19" s="160"/>
      <c r="C19" s="160"/>
      <c r="D19" s="160"/>
      <c r="E19" s="160"/>
      <c r="F19" s="160"/>
      <c r="G19" s="391" t="s">
        <v>295</v>
      </c>
      <c r="H19" s="391"/>
      <c r="I19" s="391"/>
      <c r="J19" s="391"/>
    </row>
    <row r="20" ht="21.75" customHeight="1"/>
  </sheetData>
  <mergeCells count="83">
    <mergeCell ref="K17:O17"/>
    <mergeCell ref="G19:J19"/>
    <mergeCell ref="AO11:AO12"/>
    <mergeCell ref="AP11:AP12"/>
    <mergeCell ref="AQ11:AQ12"/>
    <mergeCell ref="B13:B14"/>
    <mergeCell ref="AN13:AN14"/>
    <mergeCell ref="AP13:AP14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U11:U12"/>
    <mergeCell ref="V11:V12"/>
    <mergeCell ref="W11:W12"/>
    <mergeCell ref="X11:X12"/>
    <mergeCell ref="P11:P12"/>
    <mergeCell ref="Q11:Q12"/>
    <mergeCell ref="R11:R12"/>
    <mergeCell ref="S11:T12"/>
    <mergeCell ref="L11:L12"/>
    <mergeCell ref="M11:M12"/>
    <mergeCell ref="N11:N12"/>
    <mergeCell ref="O11:O12"/>
    <mergeCell ref="H11:H12"/>
    <mergeCell ref="I11:I12"/>
    <mergeCell ref="J11:J12"/>
    <mergeCell ref="K11:K12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11:G12"/>
    <mergeCell ref="G9:G10"/>
    <mergeCell ref="K9:K10"/>
    <mergeCell ref="L9:L10"/>
    <mergeCell ref="M9:M10"/>
    <mergeCell ref="C9:C10"/>
    <mergeCell ref="D9:D10"/>
    <mergeCell ref="E9:E10"/>
    <mergeCell ref="F9:F10"/>
    <mergeCell ref="AQ7:AQ10"/>
    <mergeCell ref="C8:P8"/>
    <mergeCell ref="Q8:T9"/>
    <mergeCell ref="U8:W9"/>
    <mergeCell ref="X8:Z9"/>
    <mergeCell ref="AA8:AA10"/>
    <mergeCell ref="AB8:AD9"/>
    <mergeCell ref="AE8:AE10"/>
    <mergeCell ref="AF8:AF10"/>
    <mergeCell ref="AG8:AG10"/>
    <mergeCell ref="AL7:AL10"/>
    <mergeCell ref="AM7:AM10"/>
    <mergeCell ref="AO7:AO10"/>
    <mergeCell ref="AP7:AP10"/>
    <mergeCell ref="AN8:AN10"/>
    <mergeCell ref="A1:B1"/>
    <mergeCell ref="A4:BR4"/>
    <mergeCell ref="A5:BR5"/>
    <mergeCell ref="A7:A10"/>
    <mergeCell ref="B7:B10"/>
    <mergeCell ref="C7:W7"/>
    <mergeCell ref="AH7:AH10"/>
    <mergeCell ref="AI7:AI10"/>
    <mergeCell ref="AJ7:AJ10"/>
    <mergeCell ref="AK7:AK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U7" sqref="U7:U10"/>
    </sheetView>
  </sheetViews>
  <sheetFormatPr defaultColWidth="9.00390625" defaultRowHeight="12.75"/>
  <cols>
    <col min="1" max="1" width="11.875" style="36" customWidth="1"/>
    <col min="2" max="2" width="9.25390625" style="36" customWidth="1"/>
    <col min="3" max="3" width="6.125" style="36" customWidth="1"/>
    <col min="4" max="5" width="7.75390625" style="36" customWidth="1"/>
    <col min="6" max="6" width="5.75390625" style="36" customWidth="1"/>
    <col min="7" max="7" width="8.00390625" style="36" customWidth="1"/>
    <col min="8" max="8" width="7.75390625" style="36" customWidth="1"/>
    <col min="9" max="9" width="7.25390625" style="36" customWidth="1"/>
    <col min="10" max="10" width="7.125" style="36" customWidth="1"/>
    <col min="11" max="11" width="6.125" style="36" customWidth="1"/>
    <col min="12" max="12" width="8.375" style="36" customWidth="1"/>
    <col min="13" max="13" width="9.25390625" style="36" customWidth="1"/>
    <col min="14" max="14" width="10.875" style="36" customWidth="1"/>
    <col min="15" max="15" width="6.75390625" style="36" customWidth="1"/>
    <col min="16" max="16" width="6.25390625" style="36" customWidth="1"/>
    <col min="17" max="17" width="9.75390625" style="36" customWidth="1"/>
    <col min="18" max="18" width="10.375" style="36" customWidth="1"/>
    <col min="19" max="19" width="9.625" style="36" customWidth="1"/>
    <col min="20" max="20" width="7.625" style="36" customWidth="1"/>
    <col min="21" max="21" width="22.75390625" style="36" customWidth="1"/>
    <col min="22" max="16384" width="9.125" style="36" customWidth="1"/>
  </cols>
  <sheetData>
    <row r="1" spans="1:20" s="67" customFormat="1" ht="15.75">
      <c r="A1" s="157" t="s">
        <v>344</v>
      </c>
      <c r="B1" s="157"/>
      <c r="C1" s="158"/>
      <c r="D1" s="158"/>
      <c r="E1" s="158"/>
      <c r="F1" s="158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s="67" customFormat="1" ht="17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s="67" customFormat="1" ht="24.75" customHeight="1">
      <c r="A3" s="392" t="s">
        <v>345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s="67" customFormat="1" ht="24.75" customHeight="1">
      <c r="A4" s="392" t="s">
        <v>329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1:20" s="67" customFormat="1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s="67" customFormat="1" ht="19.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1" s="398" customFormat="1" ht="39" customHeight="1">
      <c r="A7" s="393" t="s">
        <v>179</v>
      </c>
      <c r="B7" s="165" t="s">
        <v>347</v>
      </c>
      <c r="C7" s="393" t="s">
        <v>346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165" t="s">
        <v>330</v>
      </c>
      <c r="O7" s="394" t="s">
        <v>331</v>
      </c>
      <c r="P7" s="394"/>
      <c r="Q7" s="394"/>
      <c r="R7" s="395" t="s">
        <v>332</v>
      </c>
      <c r="S7" s="396" t="s">
        <v>333</v>
      </c>
      <c r="T7" s="396" t="s">
        <v>334</v>
      </c>
      <c r="U7" s="397" t="s">
        <v>188</v>
      </c>
    </row>
    <row r="8" spans="1:21" s="398" customFormat="1" ht="39" customHeight="1">
      <c r="A8" s="393"/>
      <c r="B8" s="165"/>
      <c r="C8" s="393" t="s">
        <v>335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165"/>
      <c r="O8" s="394"/>
      <c r="P8" s="394"/>
      <c r="Q8" s="394"/>
      <c r="R8" s="399"/>
      <c r="S8" s="396"/>
      <c r="T8" s="396"/>
      <c r="U8" s="397"/>
    </row>
    <row r="9" spans="1:21" s="398" customFormat="1" ht="90" customHeight="1">
      <c r="A9" s="393"/>
      <c r="B9" s="165"/>
      <c r="C9" s="165" t="s">
        <v>197</v>
      </c>
      <c r="D9" s="400" t="s">
        <v>198</v>
      </c>
      <c r="E9" s="400" t="s">
        <v>199</v>
      </c>
      <c r="F9" s="400" t="s">
        <v>200</v>
      </c>
      <c r="G9" s="400" t="s">
        <v>201</v>
      </c>
      <c r="H9" s="165" t="s">
        <v>202</v>
      </c>
      <c r="I9" s="165" t="s">
        <v>203</v>
      </c>
      <c r="J9" s="165" t="s">
        <v>204</v>
      </c>
      <c r="K9" s="400" t="s">
        <v>200</v>
      </c>
      <c r="L9" s="165" t="s">
        <v>336</v>
      </c>
      <c r="M9" s="165" t="s">
        <v>337</v>
      </c>
      <c r="N9" s="165"/>
      <c r="O9" s="394"/>
      <c r="P9" s="394"/>
      <c r="Q9" s="394"/>
      <c r="R9" s="399"/>
      <c r="S9" s="396"/>
      <c r="T9" s="396"/>
      <c r="U9" s="397"/>
    </row>
    <row r="10" spans="1:21" s="398" customFormat="1" ht="47.25" customHeight="1">
      <c r="A10" s="393"/>
      <c r="B10" s="165"/>
      <c r="C10" s="165"/>
      <c r="D10" s="400"/>
      <c r="E10" s="400"/>
      <c r="F10" s="400"/>
      <c r="G10" s="400"/>
      <c r="H10" s="165"/>
      <c r="I10" s="165"/>
      <c r="J10" s="165"/>
      <c r="K10" s="400"/>
      <c r="L10" s="165"/>
      <c r="M10" s="165"/>
      <c r="N10" s="165"/>
      <c r="O10" s="401" t="s">
        <v>338</v>
      </c>
      <c r="P10" s="401" t="s">
        <v>339</v>
      </c>
      <c r="Q10" s="401" t="s">
        <v>340</v>
      </c>
      <c r="R10" s="402"/>
      <c r="S10" s="396"/>
      <c r="T10" s="396"/>
      <c r="U10" s="397"/>
    </row>
    <row r="11" spans="1:21" s="398" customFormat="1" ht="36.75" customHeight="1">
      <c r="A11" s="401" t="s">
        <v>341</v>
      </c>
      <c r="B11" s="403">
        <f>M11+N11+Q11+S11+T11+R11</f>
        <v>3139.5</v>
      </c>
      <c r="C11" s="228" t="s">
        <v>263</v>
      </c>
      <c r="D11" s="231">
        <v>39.91</v>
      </c>
      <c r="E11" s="231">
        <f>D11</f>
        <v>39.91</v>
      </c>
      <c r="F11" s="404">
        <v>12</v>
      </c>
      <c r="G11" s="231">
        <f>E11*F11</f>
        <v>478.91999999999996</v>
      </c>
      <c r="H11" s="228"/>
      <c r="I11" s="405"/>
      <c r="J11" s="231"/>
      <c r="K11" s="404"/>
      <c r="L11" s="231"/>
      <c r="M11" s="231">
        <f>G11</f>
        <v>478.91999999999996</v>
      </c>
      <c r="N11" s="231">
        <v>1500</v>
      </c>
      <c r="O11" s="231">
        <v>90</v>
      </c>
      <c r="P11" s="405">
        <v>12</v>
      </c>
      <c r="Q11" s="231">
        <f>O11*P11</f>
        <v>1080</v>
      </c>
      <c r="R11" s="231">
        <v>5</v>
      </c>
      <c r="S11" s="406">
        <v>64.75</v>
      </c>
      <c r="T11" s="406">
        <v>10.83</v>
      </c>
      <c r="U11" s="397" t="s">
        <v>342</v>
      </c>
    </row>
    <row r="12" spans="1:21" ht="29.25" customHeight="1">
      <c r="A12" s="401" t="s">
        <v>25</v>
      </c>
      <c r="B12" s="403">
        <f>M12+N12+Q12+S12+T12+R12</f>
        <v>3040.3799999999997</v>
      </c>
      <c r="C12" s="228" t="s">
        <v>263</v>
      </c>
      <c r="D12" s="231">
        <v>31.93</v>
      </c>
      <c r="E12" s="231">
        <f>D12</f>
        <v>31.93</v>
      </c>
      <c r="F12" s="404">
        <v>12</v>
      </c>
      <c r="G12" s="231">
        <f>E12*F12</f>
        <v>383.15999999999997</v>
      </c>
      <c r="H12" s="228"/>
      <c r="I12" s="405"/>
      <c r="J12" s="231"/>
      <c r="K12" s="404"/>
      <c r="L12" s="231"/>
      <c r="M12" s="231">
        <f>G12</f>
        <v>383.15999999999997</v>
      </c>
      <c r="N12" s="231">
        <v>1500</v>
      </c>
      <c r="O12" s="231">
        <v>90</v>
      </c>
      <c r="P12" s="405">
        <v>12</v>
      </c>
      <c r="Q12" s="231">
        <f>O12*P12</f>
        <v>1080</v>
      </c>
      <c r="R12" s="231">
        <v>5</v>
      </c>
      <c r="S12" s="406">
        <v>64.75</v>
      </c>
      <c r="T12" s="406">
        <v>7.47</v>
      </c>
      <c r="U12" s="397"/>
    </row>
    <row r="13" spans="1:21" ht="34.5" customHeight="1">
      <c r="A13" s="407" t="s">
        <v>48</v>
      </c>
      <c r="B13" s="408">
        <f>B11+B12</f>
        <v>6179.879999999999</v>
      </c>
      <c r="C13" s="401"/>
      <c r="D13" s="406"/>
      <c r="E13" s="406"/>
      <c r="F13" s="409"/>
      <c r="G13" s="406">
        <f>G11+G12</f>
        <v>862.0799999999999</v>
      </c>
      <c r="H13" s="401"/>
      <c r="I13" s="410"/>
      <c r="J13" s="406"/>
      <c r="K13" s="409"/>
      <c r="L13" s="406"/>
      <c r="M13" s="406">
        <f>G13+L13</f>
        <v>862.0799999999999</v>
      </c>
      <c r="N13" s="406">
        <v>3000</v>
      </c>
      <c r="O13" s="406"/>
      <c r="P13" s="410"/>
      <c r="Q13" s="406">
        <f>Q11+Q12</f>
        <v>2160</v>
      </c>
      <c r="R13" s="406">
        <f>R11+R12</f>
        <v>10</v>
      </c>
      <c r="S13" s="406">
        <f>S11+S12</f>
        <v>129.5</v>
      </c>
      <c r="T13" s="406">
        <f>T11+T12</f>
        <v>18.3</v>
      </c>
      <c r="U13" s="397"/>
    </row>
    <row r="14" ht="12.75">
      <c r="D14" s="411"/>
    </row>
    <row r="15" spans="4:13" ht="15">
      <c r="D15" s="389"/>
      <c r="E15" s="160"/>
      <c r="F15" s="160"/>
      <c r="G15" s="160"/>
      <c r="H15" s="160"/>
      <c r="I15" s="160"/>
      <c r="J15" s="160"/>
      <c r="L15" s="160"/>
      <c r="M15" s="160"/>
    </row>
    <row r="16" spans="4:10" ht="15">
      <c r="D16" s="160"/>
      <c r="E16" s="160"/>
      <c r="F16" s="160"/>
      <c r="G16" s="160"/>
      <c r="H16" s="160"/>
      <c r="I16" s="160"/>
      <c r="J16" s="160"/>
    </row>
    <row r="17" spans="1:13" ht="15">
      <c r="A17" s="412" t="s">
        <v>343</v>
      </c>
      <c r="E17" s="160"/>
      <c r="F17" s="160"/>
      <c r="G17" s="389" t="s">
        <v>295</v>
      </c>
      <c r="H17" s="160"/>
      <c r="I17" s="160"/>
      <c r="J17" s="160"/>
      <c r="M17" s="389"/>
    </row>
  </sheetData>
  <mergeCells count="25">
    <mergeCell ref="U11:U13"/>
    <mergeCell ref="J9:J10"/>
    <mergeCell ref="K9:K10"/>
    <mergeCell ref="L9:L10"/>
    <mergeCell ref="M9:M10"/>
    <mergeCell ref="T7:T10"/>
    <mergeCell ref="U7:U10"/>
    <mergeCell ref="C8:M8"/>
    <mergeCell ref="C9:C10"/>
    <mergeCell ref="D9:D10"/>
    <mergeCell ref="E9:E10"/>
    <mergeCell ref="F9:F10"/>
    <mergeCell ref="G9:G10"/>
    <mergeCell ref="H9:H10"/>
    <mergeCell ref="I9:I10"/>
    <mergeCell ref="A1:B1"/>
    <mergeCell ref="A3:T3"/>
    <mergeCell ref="A4:T4"/>
    <mergeCell ref="A7:A10"/>
    <mergeCell ref="B7:B10"/>
    <mergeCell ref="C7:M7"/>
    <mergeCell ref="N7:N10"/>
    <mergeCell ref="O7:Q9"/>
    <mergeCell ref="R7:R10"/>
    <mergeCell ref="S7:S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21" sqref="H21"/>
    </sheetView>
  </sheetViews>
  <sheetFormatPr defaultColWidth="9.00390625" defaultRowHeight="12.75"/>
  <cols>
    <col min="1" max="1" width="17.625" style="38" customWidth="1"/>
    <col min="2" max="2" width="12.875" style="38" customWidth="1"/>
    <col min="3" max="3" width="14.00390625" style="38" customWidth="1"/>
    <col min="4" max="16384" width="9.125" style="38" customWidth="1"/>
  </cols>
  <sheetData>
    <row r="1" spans="1:5" ht="12.75">
      <c r="A1" s="37" t="s">
        <v>174</v>
      </c>
      <c r="B1" s="37"/>
      <c r="C1" s="37"/>
      <c r="D1" s="37"/>
      <c r="E1" s="37"/>
    </row>
    <row r="3" ht="12.75">
      <c r="A3" s="38" t="s">
        <v>120</v>
      </c>
    </row>
    <row r="5" ht="12.75">
      <c r="D5" s="38" t="s">
        <v>63</v>
      </c>
    </row>
    <row r="6" spans="1:5" ht="54.75" customHeight="1">
      <c r="A6" s="49" t="s">
        <v>165</v>
      </c>
      <c r="B6" s="63" t="s">
        <v>152</v>
      </c>
      <c r="C6" s="63" t="s">
        <v>175</v>
      </c>
      <c r="D6" s="50" t="s">
        <v>168</v>
      </c>
      <c r="E6" s="51"/>
    </row>
    <row r="7" spans="1:4" ht="12.75">
      <c r="A7" s="39" t="s">
        <v>176</v>
      </c>
      <c r="B7" s="39">
        <v>9.595</v>
      </c>
      <c r="C7" s="52">
        <v>5.49</v>
      </c>
      <c r="D7" s="39">
        <v>15.085</v>
      </c>
    </row>
    <row r="8" spans="1:4" ht="12.75">
      <c r="A8" s="39" t="s">
        <v>120</v>
      </c>
      <c r="B8" s="39">
        <v>9.595</v>
      </c>
      <c r="C8" s="52">
        <v>5.49</v>
      </c>
      <c r="D8" s="39">
        <v>15.085</v>
      </c>
    </row>
    <row r="12" ht="12.75">
      <c r="A12" s="38" t="s">
        <v>65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P11" sqref="P11"/>
    </sheetView>
  </sheetViews>
  <sheetFormatPr defaultColWidth="9.00390625" defaultRowHeight="12.75"/>
  <cols>
    <col min="1" max="1" width="13.25390625" style="36" customWidth="1"/>
    <col min="2" max="2" width="11.75390625" style="36" customWidth="1"/>
    <col min="3" max="3" width="6.375" style="36" customWidth="1"/>
    <col min="4" max="4" width="7.75390625" style="36" customWidth="1"/>
    <col min="5" max="5" width="6.875" style="36" customWidth="1"/>
    <col min="6" max="6" width="4.875" style="36" customWidth="1"/>
    <col min="7" max="7" width="9.125" style="36" customWidth="1"/>
    <col min="8" max="8" width="7.25390625" style="36" customWidth="1"/>
    <col min="9" max="9" width="5.75390625" style="36" customWidth="1"/>
    <col min="10" max="10" width="7.00390625" style="36" customWidth="1"/>
    <col min="11" max="11" width="6.00390625" style="36" customWidth="1"/>
    <col min="12" max="12" width="8.125" style="36" customWidth="1"/>
    <col min="13" max="13" width="10.875" style="36" customWidth="1"/>
    <col min="14" max="14" width="10.625" style="36" customWidth="1"/>
    <col min="15" max="15" width="10.125" style="36" customWidth="1"/>
    <col min="16" max="16" width="8.375" style="36" customWidth="1"/>
    <col min="17" max="17" width="11.25390625" style="36" customWidth="1"/>
    <col min="18" max="18" width="13.375" style="36" customWidth="1"/>
    <col min="19" max="19" width="14.75390625" style="36" customWidth="1"/>
    <col min="20" max="20" width="11.25390625" style="36" customWidth="1"/>
    <col min="21" max="21" width="10.00390625" style="36" customWidth="1"/>
    <col min="22" max="22" width="27.625" style="36" customWidth="1"/>
    <col min="23" max="23" width="16.125" style="36" customWidth="1"/>
    <col min="24" max="24" width="16.25390625" style="36" customWidth="1"/>
    <col min="25" max="25" width="7.00390625" style="36" customWidth="1"/>
    <col min="26" max="16384" width="9.125" style="36" customWidth="1"/>
  </cols>
  <sheetData>
    <row r="1" spans="1:24" ht="15.75">
      <c r="A1" s="157" t="s">
        <v>328</v>
      </c>
      <c r="B1" s="157"/>
      <c r="C1" s="158"/>
      <c r="D1" s="158"/>
      <c r="E1" s="158"/>
      <c r="F1" s="15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7.25" customHeight="1">
      <c r="A2" s="160"/>
      <c r="B2" s="160"/>
      <c r="C2" s="160"/>
      <c r="D2" s="160"/>
      <c r="E2" s="160"/>
      <c r="F2" s="160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W2" s="67"/>
      <c r="X2" s="67"/>
    </row>
    <row r="3" spans="1:24" ht="24.75" customHeight="1">
      <c r="A3" s="413" t="s">
        <v>354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</row>
    <row r="4" spans="1:24" ht="24.75" customHeight="1">
      <c r="A4" s="413" t="s">
        <v>348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</row>
    <row r="5" spans="7:21" ht="18"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ht="19.5" customHeight="1" thickBot="1"/>
    <row r="7" spans="1:22" ht="39" customHeight="1" thickBot="1">
      <c r="A7" s="414" t="s">
        <v>179</v>
      </c>
      <c r="B7" s="415" t="s">
        <v>255</v>
      </c>
      <c r="C7" s="416" t="s">
        <v>346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8" t="s">
        <v>331</v>
      </c>
      <c r="P7" s="419"/>
      <c r="Q7" s="419"/>
      <c r="R7" s="420"/>
      <c r="S7" s="421" t="s">
        <v>332</v>
      </c>
      <c r="T7" s="422" t="s">
        <v>333</v>
      </c>
      <c r="U7" s="422" t="s">
        <v>349</v>
      </c>
      <c r="V7" s="423" t="s">
        <v>188</v>
      </c>
    </row>
    <row r="8" spans="1:22" ht="39" customHeight="1">
      <c r="A8" s="424"/>
      <c r="B8" s="425"/>
      <c r="C8" s="426" t="s">
        <v>335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8" t="s">
        <v>350</v>
      </c>
      <c r="O8" s="429"/>
      <c r="P8" s="430"/>
      <c r="Q8" s="430"/>
      <c r="R8" s="431"/>
      <c r="S8" s="432"/>
      <c r="T8" s="433"/>
      <c r="U8" s="433"/>
      <c r="V8" s="434"/>
    </row>
    <row r="9" spans="1:22" ht="90" customHeight="1">
      <c r="A9" s="424"/>
      <c r="B9" s="425"/>
      <c r="C9" s="435" t="s">
        <v>197</v>
      </c>
      <c r="D9" s="436" t="s">
        <v>198</v>
      </c>
      <c r="E9" s="436" t="s">
        <v>199</v>
      </c>
      <c r="F9" s="436" t="s">
        <v>200</v>
      </c>
      <c r="G9" s="437" t="s">
        <v>201</v>
      </c>
      <c r="H9" s="435" t="s">
        <v>202</v>
      </c>
      <c r="I9" s="323" t="s">
        <v>203</v>
      </c>
      <c r="J9" s="323" t="s">
        <v>204</v>
      </c>
      <c r="K9" s="436" t="s">
        <v>200</v>
      </c>
      <c r="L9" s="438" t="s">
        <v>351</v>
      </c>
      <c r="M9" s="317" t="s">
        <v>337</v>
      </c>
      <c r="N9" s="439"/>
      <c r="O9" s="440"/>
      <c r="P9" s="441"/>
      <c r="Q9" s="441"/>
      <c r="R9" s="442"/>
      <c r="S9" s="432"/>
      <c r="T9" s="433"/>
      <c r="U9" s="433"/>
      <c r="V9" s="434"/>
    </row>
    <row r="10" spans="1:22" ht="47.25" customHeight="1">
      <c r="A10" s="443"/>
      <c r="B10" s="444"/>
      <c r="C10" s="341"/>
      <c r="D10" s="342"/>
      <c r="E10" s="342"/>
      <c r="F10" s="342"/>
      <c r="G10" s="343"/>
      <c r="H10" s="341"/>
      <c r="I10" s="188"/>
      <c r="J10" s="188"/>
      <c r="K10" s="342"/>
      <c r="L10" s="445"/>
      <c r="M10" s="446"/>
      <c r="N10" s="447"/>
      <c r="O10" s="448" t="s">
        <v>338</v>
      </c>
      <c r="P10" s="228" t="s">
        <v>339</v>
      </c>
      <c r="Q10" s="228" t="s">
        <v>340</v>
      </c>
      <c r="R10" s="449" t="s">
        <v>308</v>
      </c>
      <c r="S10" s="450"/>
      <c r="T10" s="451"/>
      <c r="U10" s="451"/>
      <c r="V10" s="452"/>
    </row>
    <row r="11" spans="1:22" ht="36.75" customHeight="1">
      <c r="A11" s="453" t="s">
        <v>352</v>
      </c>
      <c r="B11" s="454">
        <f>M11+N11+R11+S11+T11+U11</f>
        <v>9594.57</v>
      </c>
      <c r="C11" s="455" t="s">
        <v>263</v>
      </c>
      <c r="D11" s="456">
        <v>31.93</v>
      </c>
      <c r="E11" s="456">
        <f>D11</f>
        <v>31.93</v>
      </c>
      <c r="F11" s="457">
        <v>12</v>
      </c>
      <c r="G11" s="458">
        <f>E11*12</f>
        <v>383.15999999999997</v>
      </c>
      <c r="H11" s="455"/>
      <c r="I11" s="459"/>
      <c r="J11" s="456"/>
      <c r="K11" s="457"/>
      <c r="L11" s="458"/>
      <c r="M11" s="460">
        <f>G11+L11</f>
        <v>383.15999999999997</v>
      </c>
      <c r="N11" s="461">
        <v>4560</v>
      </c>
      <c r="O11" s="462">
        <v>90</v>
      </c>
      <c r="P11" s="405">
        <v>24</v>
      </c>
      <c r="Q11" s="231">
        <f>O11*P11</f>
        <v>2160</v>
      </c>
      <c r="R11" s="463">
        <f>Q11+Q12</f>
        <v>4320</v>
      </c>
      <c r="S11" s="461">
        <v>9</v>
      </c>
      <c r="T11" s="464">
        <v>300.48</v>
      </c>
      <c r="U11" s="464">
        <v>21.93</v>
      </c>
      <c r="V11" s="465" t="s">
        <v>353</v>
      </c>
    </row>
    <row r="12" spans="1:22" ht="35.25" customHeight="1" thickBot="1">
      <c r="A12" s="466"/>
      <c r="B12" s="467"/>
      <c r="C12" s="468"/>
      <c r="D12" s="469"/>
      <c r="E12" s="469"/>
      <c r="F12" s="470"/>
      <c r="G12" s="471"/>
      <c r="H12" s="468"/>
      <c r="I12" s="472"/>
      <c r="J12" s="469"/>
      <c r="K12" s="470"/>
      <c r="L12" s="471"/>
      <c r="M12" s="473"/>
      <c r="N12" s="474"/>
      <c r="O12" s="475">
        <v>180</v>
      </c>
      <c r="P12" s="476">
        <v>12</v>
      </c>
      <c r="Q12" s="477">
        <f>O12*P12</f>
        <v>2160</v>
      </c>
      <c r="R12" s="478"/>
      <c r="S12" s="474"/>
      <c r="T12" s="479"/>
      <c r="U12" s="479"/>
      <c r="V12" s="480"/>
    </row>
    <row r="13" spans="1:24" ht="45" customHeight="1">
      <c r="A13" s="160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2:24" ht="14.25" customHeight="1">
      <c r="B14" s="312"/>
      <c r="C14" s="312"/>
      <c r="D14" s="312"/>
      <c r="E14" s="312"/>
      <c r="F14" s="312"/>
      <c r="G14" s="312"/>
      <c r="H14" s="312"/>
      <c r="I14" s="160"/>
      <c r="J14" s="160"/>
      <c r="K14" s="312"/>
      <c r="L14" s="312"/>
      <c r="M14" s="312"/>
      <c r="N14" s="312"/>
      <c r="O14" s="312"/>
      <c r="P14" s="160"/>
      <c r="Q14" s="312"/>
      <c r="R14" s="312"/>
      <c r="S14" s="312"/>
      <c r="T14" s="312"/>
      <c r="U14" s="312"/>
      <c r="X14" s="312"/>
    </row>
    <row r="15" spans="3:24" ht="25.5" customHeight="1">
      <c r="C15" s="160"/>
      <c r="I15" s="160"/>
      <c r="J15" s="160"/>
      <c r="K15" s="160"/>
      <c r="L15" s="160"/>
      <c r="P15" s="160"/>
      <c r="Q15" s="160"/>
      <c r="W15" s="160"/>
      <c r="X15" s="160"/>
    </row>
    <row r="16" spans="1:24" ht="15">
      <c r="A16" s="412" t="s">
        <v>230</v>
      </c>
      <c r="B16" s="160"/>
      <c r="C16" s="160"/>
      <c r="D16" s="160"/>
      <c r="H16" s="389" t="s">
        <v>295</v>
      </c>
      <c r="I16" s="389"/>
      <c r="W16" s="160"/>
      <c r="X16" s="160"/>
    </row>
    <row r="17" spans="3:24" ht="15" customHeight="1"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3:24" ht="15"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3:24" ht="15"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X19" s="160"/>
    </row>
  </sheetData>
  <mergeCells count="43">
    <mergeCell ref="T11:T12"/>
    <mergeCell ref="U11:U12"/>
    <mergeCell ref="V11:V12"/>
    <mergeCell ref="M11:M12"/>
    <mergeCell ref="N11:N12"/>
    <mergeCell ref="R11:R12"/>
    <mergeCell ref="S11:S12"/>
    <mergeCell ref="I11:I12"/>
    <mergeCell ref="J11:J12"/>
    <mergeCell ref="K11:K12"/>
    <mergeCell ref="L11:L12"/>
    <mergeCell ref="E11:E12"/>
    <mergeCell ref="F11:F12"/>
    <mergeCell ref="G11:G12"/>
    <mergeCell ref="H11:H12"/>
    <mergeCell ref="A11:A12"/>
    <mergeCell ref="B11:B12"/>
    <mergeCell ref="C11:C12"/>
    <mergeCell ref="D11:D12"/>
    <mergeCell ref="J9:J10"/>
    <mergeCell ref="K9:K10"/>
    <mergeCell ref="L9:L10"/>
    <mergeCell ref="M9:M10"/>
    <mergeCell ref="V7:V10"/>
    <mergeCell ref="C8:M8"/>
    <mergeCell ref="N8:N10"/>
    <mergeCell ref="C9:C10"/>
    <mergeCell ref="D9:D10"/>
    <mergeCell ref="E9:E10"/>
    <mergeCell ref="F9:F10"/>
    <mergeCell ref="G9:G10"/>
    <mergeCell ref="H9:H10"/>
    <mergeCell ref="I9:I10"/>
    <mergeCell ref="A1:B1"/>
    <mergeCell ref="A3:X3"/>
    <mergeCell ref="A4:X4"/>
    <mergeCell ref="A7:A10"/>
    <mergeCell ref="B7:B10"/>
    <mergeCell ref="C7:N7"/>
    <mergeCell ref="O7:R9"/>
    <mergeCell ref="S7:S10"/>
    <mergeCell ref="T7:T10"/>
    <mergeCell ref="U7:U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Q12" sqref="Q12:Q13"/>
    </sheetView>
  </sheetViews>
  <sheetFormatPr defaultColWidth="9.00390625" defaultRowHeight="12.75"/>
  <cols>
    <col min="1" max="1" width="5.875" style="36" customWidth="1"/>
    <col min="2" max="2" width="8.00390625" style="36" customWidth="1"/>
    <col min="3" max="3" width="6.875" style="36" customWidth="1"/>
    <col min="4" max="4" width="7.00390625" style="36" customWidth="1"/>
    <col min="5" max="5" width="8.25390625" style="36" customWidth="1"/>
    <col min="6" max="6" width="4.75390625" style="36" customWidth="1"/>
    <col min="7" max="7" width="9.75390625" style="36" customWidth="1"/>
    <col min="8" max="8" width="6.25390625" style="36" customWidth="1"/>
    <col min="9" max="9" width="6.625" style="36" customWidth="1"/>
    <col min="10" max="10" width="8.125" style="36" customWidth="1"/>
    <col min="11" max="11" width="4.75390625" style="36" customWidth="1"/>
    <col min="12" max="12" width="7.75390625" style="36" customWidth="1"/>
    <col min="13" max="13" width="9.25390625" style="36" customWidth="1"/>
    <col min="14" max="14" width="5.00390625" style="36" customWidth="1"/>
    <col min="15" max="16" width="9.625" style="36" customWidth="1"/>
    <col min="17" max="17" width="10.00390625" style="36" customWidth="1"/>
    <col min="18" max="18" width="10.875" style="36" customWidth="1"/>
    <col min="19" max="19" width="10.125" style="36" customWidth="1"/>
    <col min="20" max="20" width="7.25390625" style="36" customWidth="1"/>
    <col min="21" max="21" width="5.375" style="36" customWidth="1"/>
    <col min="22" max="23" width="10.25390625" style="36" customWidth="1"/>
    <col min="24" max="25" width="8.75390625" style="36" customWidth="1"/>
    <col min="26" max="26" width="21.25390625" style="36" customWidth="1"/>
    <col min="27" max="27" width="17.875" style="36" customWidth="1"/>
    <col min="28" max="28" width="16.25390625" style="36" customWidth="1"/>
    <col min="29" max="16384" width="9.125" style="36" customWidth="1"/>
  </cols>
  <sheetData>
    <row r="1" spans="1:28" ht="18">
      <c r="A1" s="481" t="s">
        <v>355</v>
      </c>
      <c r="B1" s="481"/>
      <c r="C1" s="158"/>
      <c r="D1" s="158"/>
      <c r="E1" s="158"/>
      <c r="F1" s="15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9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7.25" customHeight="1">
      <c r="A3" s="160"/>
      <c r="B3" s="160"/>
      <c r="C3" s="160"/>
      <c r="D3" s="160"/>
      <c r="E3" s="160"/>
      <c r="F3" s="160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s="483" customFormat="1" ht="24.75" customHeight="1">
      <c r="A4" s="482" t="s">
        <v>356</v>
      </c>
      <c r="B4" s="481"/>
      <c r="C4" s="481"/>
      <c r="D4" s="481"/>
      <c r="E4" s="481"/>
      <c r="F4" s="481"/>
      <c r="G4" s="481"/>
      <c r="H4" s="481"/>
      <c r="I4" s="413" t="s">
        <v>354</v>
      </c>
      <c r="J4" s="413"/>
      <c r="K4" s="413"/>
      <c r="L4" s="413"/>
      <c r="M4" s="413"/>
      <c r="N4" s="413"/>
      <c r="O4" s="413"/>
      <c r="P4" s="413"/>
      <c r="Q4" s="413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</row>
    <row r="5" spans="1:28" s="483" customFormat="1" ht="24.75" customHeight="1">
      <c r="A5" s="413" t="s">
        <v>357</v>
      </c>
      <c r="B5" s="413"/>
      <c r="C5" s="481"/>
      <c r="D5" s="481"/>
      <c r="E5" s="481"/>
      <c r="F5" s="481"/>
      <c r="G5" s="481"/>
      <c r="H5" s="481"/>
      <c r="I5" s="481"/>
      <c r="J5" s="413" t="s">
        <v>358</v>
      </c>
      <c r="K5" s="413"/>
      <c r="L5" s="413"/>
      <c r="M5" s="413"/>
      <c r="N5" s="413"/>
      <c r="O5" s="484"/>
      <c r="P5" s="484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</row>
    <row r="6" spans="7:14" ht="21" customHeight="1">
      <c r="G6" s="162"/>
      <c r="H6" s="162"/>
      <c r="I6" s="162"/>
      <c r="J6" s="162"/>
      <c r="K6" s="162"/>
      <c r="L6" s="162"/>
      <c r="M6" s="162"/>
      <c r="N6" s="162"/>
    </row>
    <row r="7" ht="22.5" customHeight="1" thickBot="1"/>
    <row r="8" spans="1:26" ht="36.75" customHeight="1">
      <c r="A8" s="297" t="s">
        <v>179</v>
      </c>
      <c r="B8" s="297" t="s">
        <v>359</v>
      </c>
      <c r="C8" s="298" t="s">
        <v>360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6"/>
      <c r="R8" s="297" t="s">
        <v>361</v>
      </c>
      <c r="S8" s="298" t="s">
        <v>330</v>
      </c>
      <c r="T8" s="487" t="s">
        <v>362</v>
      </c>
      <c r="U8" s="488"/>
      <c r="V8" s="489"/>
      <c r="W8" s="297" t="s">
        <v>332</v>
      </c>
      <c r="X8" s="422" t="s">
        <v>333</v>
      </c>
      <c r="Y8" s="422" t="s">
        <v>349</v>
      </c>
      <c r="Z8" s="486" t="s">
        <v>188</v>
      </c>
    </row>
    <row r="9" spans="1:26" ht="28.5" customHeight="1" thickBot="1">
      <c r="A9" s="313"/>
      <c r="B9" s="313"/>
      <c r="C9" s="490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80"/>
      <c r="R9" s="313"/>
      <c r="S9" s="492"/>
      <c r="T9" s="356"/>
      <c r="U9" s="165"/>
      <c r="V9" s="493"/>
      <c r="W9" s="313"/>
      <c r="X9" s="433"/>
      <c r="Y9" s="433"/>
      <c r="Z9" s="494"/>
    </row>
    <row r="10" spans="1:26" ht="96" customHeight="1">
      <c r="A10" s="313"/>
      <c r="B10" s="313"/>
      <c r="C10" s="495" t="s">
        <v>197</v>
      </c>
      <c r="D10" s="496" t="s">
        <v>198</v>
      </c>
      <c r="E10" s="497" t="s">
        <v>199</v>
      </c>
      <c r="F10" s="497" t="s">
        <v>200</v>
      </c>
      <c r="G10" s="498" t="s">
        <v>240</v>
      </c>
      <c r="H10" s="495" t="s">
        <v>202</v>
      </c>
      <c r="I10" s="415" t="s">
        <v>203</v>
      </c>
      <c r="J10" s="415" t="s">
        <v>204</v>
      </c>
      <c r="K10" s="497" t="s">
        <v>200</v>
      </c>
      <c r="L10" s="499" t="s">
        <v>363</v>
      </c>
      <c r="M10" s="495" t="s">
        <v>364</v>
      </c>
      <c r="N10" s="497" t="s">
        <v>200</v>
      </c>
      <c r="O10" s="415" t="s">
        <v>363</v>
      </c>
      <c r="P10" s="499" t="s">
        <v>370</v>
      </c>
      <c r="Q10" s="500" t="s">
        <v>365</v>
      </c>
      <c r="R10" s="313"/>
      <c r="S10" s="492"/>
      <c r="T10" s="356"/>
      <c r="U10" s="165"/>
      <c r="V10" s="493"/>
      <c r="W10" s="313"/>
      <c r="X10" s="433"/>
      <c r="Y10" s="433"/>
      <c r="Z10" s="494"/>
    </row>
    <row r="11" spans="1:26" ht="48.75" customHeight="1" thickBot="1">
      <c r="A11" s="501"/>
      <c r="B11" s="501"/>
      <c r="C11" s="466"/>
      <c r="D11" s="502"/>
      <c r="E11" s="503"/>
      <c r="F11" s="503"/>
      <c r="G11" s="504"/>
      <c r="H11" s="466"/>
      <c r="I11" s="505"/>
      <c r="J11" s="505"/>
      <c r="K11" s="503"/>
      <c r="L11" s="506"/>
      <c r="M11" s="466"/>
      <c r="N11" s="503"/>
      <c r="O11" s="505"/>
      <c r="P11" s="506"/>
      <c r="Q11" s="507"/>
      <c r="R11" s="501"/>
      <c r="S11" s="490"/>
      <c r="T11" s="508" t="s">
        <v>338</v>
      </c>
      <c r="U11" s="509" t="s">
        <v>339</v>
      </c>
      <c r="V11" s="510" t="s">
        <v>366</v>
      </c>
      <c r="W11" s="501"/>
      <c r="X11" s="511"/>
      <c r="Y11" s="511"/>
      <c r="Z11" s="480"/>
    </row>
    <row r="12" spans="1:26" ht="42" customHeight="1">
      <c r="A12" s="313" t="s">
        <v>367</v>
      </c>
      <c r="B12" s="512">
        <f>Q12+R12+S12+V12+X12+Y12+W12</f>
        <v>81943.04</v>
      </c>
      <c r="C12" s="435" t="s">
        <v>368</v>
      </c>
      <c r="D12" s="513" t="s">
        <v>224</v>
      </c>
      <c r="E12" s="513">
        <v>203.39</v>
      </c>
      <c r="F12" s="514">
        <v>12</v>
      </c>
      <c r="G12" s="515">
        <f>E12*12</f>
        <v>2440.68</v>
      </c>
      <c r="H12" s="435"/>
      <c r="I12" s="516"/>
      <c r="J12" s="513"/>
      <c r="K12" s="514"/>
      <c r="L12" s="515"/>
      <c r="M12" s="517">
        <v>124</v>
      </c>
      <c r="N12" s="518">
        <v>12</v>
      </c>
      <c r="O12" s="519">
        <f>M12*N12</f>
        <v>1488</v>
      </c>
      <c r="P12" s="515">
        <f>O12+O13</f>
        <v>2976</v>
      </c>
      <c r="Q12" s="432">
        <f>G12+L12+P12</f>
        <v>5416.68</v>
      </c>
      <c r="R12" s="432">
        <v>60000</v>
      </c>
      <c r="S12" s="432">
        <v>9240</v>
      </c>
      <c r="T12" s="432">
        <v>90</v>
      </c>
      <c r="U12" s="520">
        <v>72</v>
      </c>
      <c r="V12" s="432">
        <f>T12*U12</f>
        <v>6480</v>
      </c>
      <c r="W12" s="421">
        <v>37</v>
      </c>
      <c r="X12" s="433">
        <v>630.96</v>
      </c>
      <c r="Y12" s="433">
        <v>138.4</v>
      </c>
      <c r="Z12" s="313" t="s">
        <v>369</v>
      </c>
    </row>
    <row r="13" spans="1:26" ht="65.25" customHeight="1" thickBot="1">
      <c r="A13" s="501"/>
      <c r="B13" s="521"/>
      <c r="C13" s="468"/>
      <c r="D13" s="469"/>
      <c r="E13" s="469"/>
      <c r="F13" s="470"/>
      <c r="G13" s="471"/>
      <c r="H13" s="468"/>
      <c r="I13" s="472"/>
      <c r="J13" s="469"/>
      <c r="K13" s="470"/>
      <c r="L13" s="471"/>
      <c r="M13" s="475">
        <v>124</v>
      </c>
      <c r="N13" s="522">
        <v>12</v>
      </c>
      <c r="O13" s="477">
        <f>M13*12</f>
        <v>1488</v>
      </c>
      <c r="P13" s="471"/>
      <c r="Q13" s="523"/>
      <c r="R13" s="523"/>
      <c r="S13" s="523"/>
      <c r="T13" s="523"/>
      <c r="U13" s="524"/>
      <c r="V13" s="523"/>
      <c r="W13" s="523"/>
      <c r="X13" s="511"/>
      <c r="Y13" s="511"/>
      <c r="Z13" s="501"/>
    </row>
    <row r="14" spans="1:28" ht="18" customHeight="1">
      <c r="A14" s="160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ht="18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28" ht="18" customHeight="1">
      <c r="A16" s="160"/>
      <c r="B16" s="160"/>
      <c r="C16" s="160"/>
      <c r="D16" s="160"/>
      <c r="E16" s="160"/>
      <c r="F16" s="160"/>
      <c r="G16" s="412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1:28" ht="18" customHeight="1">
      <c r="A17" s="160"/>
      <c r="B17" s="160"/>
      <c r="C17" s="160"/>
      <c r="D17" s="160"/>
      <c r="E17" s="160"/>
      <c r="F17" s="160"/>
      <c r="I17" s="389"/>
      <c r="J17" s="389"/>
      <c r="K17" s="389"/>
      <c r="L17" s="160"/>
      <c r="M17" s="160"/>
      <c r="N17" s="160"/>
      <c r="O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:28" ht="18" customHeight="1">
      <c r="A18" s="160"/>
      <c r="B18" s="160"/>
      <c r="C18" s="160"/>
      <c r="D18" s="160"/>
      <c r="E18" s="160"/>
      <c r="F18" s="160"/>
      <c r="I18" s="160"/>
      <c r="J18" s="160"/>
      <c r="K18" s="160"/>
      <c r="L18" s="160"/>
      <c r="M18" s="160"/>
      <c r="N18" s="160"/>
      <c r="O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  <row r="19" spans="1:28" ht="18" customHeight="1">
      <c r="A19" s="412" t="s">
        <v>230</v>
      </c>
      <c r="B19" s="160"/>
      <c r="C19" s="160"/>
      <c r="D19" s="160"/>
      <c r="E19" s="160"/>
      <c r="F19" s="160"/>
      <c r="G19" s="160"/>
      <c r="I19" s="389" t="s">
        <v>295</v>
      </c>
      <c r="J19" s="389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</row>
    <row r="20" ht="18" customHeight="1"/>
    <row r="21" ht="18" customHeight="1"/>
  </sheetData>
  <mergeCells count="51">
    <mergeCell ref="X12:X13"/>
    <mergeCell ref="Y12:Y13"/>
    <mergeCell ref="Z12:Z13"/>
    <mergeCell ref="T12:T13"/>
    <mergeCell ref="U12:U13"/>
    <mergeCell ref="V12:V13"/>
    <mergeCell ref="W12:W13"/>
    <mergeCell ref="P12:P13"/>
    <mergeCell ref="Q12:Q13"/>
    <mergeCell ref="R12:R13"/>
    <mergeCell ref="S12:S13"/>
    <mergeCell ref="I12:I13"/>
    <mergeCell ref="J12:J13"/>
    <mergeCell ref="K12:K13"/>
    <mergeCell ref="L12:L13"/>
    <mergeCell ref="E12:E13"/>
    <mergeCell ref="F12:F13"/>
    <mergeCell ref="G12:G13"/>
    <mergeCell ref="H12:H13"/>
    <mergeCell ref="A12:A13"/>
    <mergeCell ref="B12:B13"/>
    <mergeCell ref="C12:C13"/>
    <mergeCell ref="D12:D13"/>
    <mergeCell ref="N10:N11"/>
    <mergeCell ref="O10:O11"/>
    <mergeCell ref="P10:P11"/>
    <mergeCell ref="Q10:Q11"/>
    <mergeCell ref="X8:X11"/>
    <mergeCell ref="Y8:Y11"/>
    <mergeCell ref="Z8:Z11"/>
    <mergeCell ref="C10:C11"/>
    <mergeCell ref="D10:D11"/>
    <mergeCell ref="E10:E11"/>
    <mergeCell ref="F10:F11"/>
    <mergeCell ref="G10:G11"/>
    <mergeCell ref="H10:H11"/>
    <mergeCell ref="I10:I11"/>
    <mergeCell ref="R8:R11"/>
    <mergeCell ref="S8:S11"/>
    <mergeCell ref="T8:V10"/>
    <mergeCell ref="W8:W11"/>
    <mergeCell ref="I4:Q4"/>
    <mergeCell ref="A5:B5"/>
    <mergeCell ref="J5:P5"/>
    <mergeCell ref="A8:A11"/>
    <mergeCell ref="B8:B11"/>
    <mergeCell ref="C8:Q9"/>
    <mergeCell ref="J10:J11"/>
    <mergeCell ref="K10:K11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1" ySplit="5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"/>
    </sheetView>
  </sheetViews>
  <sheetFormatPr defaultColWidth="8.75390625" defaultRowHeight="12.75"/>
  <cols>
    <col min="1" max="1" width="10.875" style="1" customWidth="1"/>
    <col min="2" max="2" width="10.00390625" style="1" customWidth="1"/>
    <col min="3" max="3" width="9.75390625" style="1" customWidth="1"/>
    <col min="4" max="4" width="10.25390625" style="1" customWidth="1"/>
    <col min="5" max="5" width="10.375" style="1" customWidth="1"/>
    <col min="6" max="6" width="9.75390625" style="1" customWidth="1"/>
    <col min="7" max="7" width="10.625" style="1" customWidth="1"/>
    <col min="8" max="8" width="8.75390625" style="1" customWidth="1"/>
    <col min="9" max="9" width="9.75390625" style="1" customWidth="1"/>
    <col min="10" max="11" width="8.75390625" style="1" customWidth="1"/>
    <col min="12" max="12" width="10.375" style="1" customWidth="1"/>
    <col min="13" max="13" width="9.875" style="1" customWidth="1"/>
    <col min="14" max="18" width="8.75390625" style="1" customWidth="1"/>
    <col min="19" max="19" width="10.375" style="1" customWidth="1"/>
    <col min="20" max="16384" width="8.75390625" style="1" customWidth="1"/>
  </cols>
  <sheetData>
    <row r="1" ht="15.75">
      <c r="F1" s="1" t="s">
        <v>40</v>
      </c>
    </row>
    <row r="2" spans="5:10" ht="15.75">
      <c r="E2" s="29" t="s">
        <v>1</v>
      </c>
      <c r="F2" s="29"/>
      <c r="G2" s="29"/>
      <c r="H2" s="29"/>
      <c r="I2" s="29"/>
      <c r="J2" s="29"/>
    </row>
    <row r="3" ht="16.5" thickBot="1">
      <c r="S3" s="8" t="s">
        <v>2</v>
      </c>
    </row>
    <row r="4" spans="1:19" s="8" customFormat="1" ht="15.75">
      <c r="A4" s="16" t="s">
        <v>3</v>
      </c>
      <c r="B4" s="9">
        <v>2110</v>
      </c>
      <c r="C4" s="9">
        <v>2120</v>
      </c>
      <c r="D4" s="9">
        <v>2210</v>
      </c>
      <c r="E4" s="9">
        <v>2220</v>
      </c>
      <c r="F4" s="9">
        <v>2230</v>
      </c>
      <c r="G4" s="9">
        <v>2240</v>
      </c>
      <c r="H4" s="9">
        <v>2250</v>
      </c>
      <c r="I4" s="9">
        <v>2271</v>
      </c>
      <c r="J4" s="9">
        <v>2272</v>
      </c>
      <c r="K4" s="9">
        <v>2273</v>
      </c>
      <c r="L4" s="9">
        <v>2274</v>
      </c>
      <c r="M4" s="9">
        <v>2282</v>
      </c>
      <c r="N4" s="9">
        <v>2730</v>
      </c>
      <c r="O4" s="9">
        <v>2800</v>
      </c>
      <c r="P4" s="9">
        <v>3110</v>
      </c>
      <c r="Q4" s="9">
        <v>3132</v>
      </c>
      <c r="R4" s="9">
        <v>3142</v>
      </c>
      <c r="S4" s="15" t="s">
        <v>4</v>
      </c>
    </row>
    <row r="5" spans="1:19" ht="116.25" thickBot="1">
      <c r="A5" s="3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35</v>
      </c>
      <c r="M5" s="14" t="s">
        <v>36</v>
      </c>
      <c r="N5" s="14" t="s">
        <v>15</v>
      </c>
      <c r="O5" s="14" t="s">
        <v>37</v>
      </c>
      <c r="P5" s="14" t="s">
        <v>16</v>
      </c>
      <c r="Q5" s="14" t="s">
        <v>17</v>
      </c>
      <c r="R5" s="14" t="s">
        <v>18</v>
      </c>
      <c r="S5" s="12"/>
    </row>
    <row r="6" spans="1:19" ht="15.75">
      <c r="A6" s="17" t="s">
        <v>20</v>
      </c>
      <c r="B6" s="4">
        <v>2680.2629999999995</v>
      </c>
      <c r="C6" s="4">
        <v>972.935</v>
      </c>
      <c r="D6" s="4">
        <v>0</v>
      </c>
      <c r="E6" s="4">
        <v>0</v>
      </c>
      <c r="F6" s="4">
        <v>115.96600000000002</v>
      </c>
      <c r="G6" s="4">
        <v>0</v>
      </c>
      <c r="H6" s="4">
        <v>0</v>
      </c>
      <c r="I6" s="4">
        <v>1274.9139999999998</v>
      </c>
      <c r="J6" s="4">
        <v>25.268</v>
      </c>
      <c r="K6" s="4">
        <v>188.042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23">
        <v>5257.387999999999</v>
      </c>
    </row>
    <row r="7" spans="1:19" ht="15.75">
      <c r="A7" s="3">
        <v>18</v>
      </c>
      <c r="B7" s="4">
        <v>1307.453</v>
      </c>
      <c r="C7" s="4">
        <v>476.303</v>
      </c>
      <c r="D7" s="4">
        <v>0</v>
      </c>
      <c r="E7" s="4">
        <v>0</v>
      </c>
      <c r="F7" s="4">
        <v>47.365</v>
      </c>
      <c r="G7" s="4">
        <v>0</v>
      </c>
      <c r="H7" s="4">
        <v>0</v>
      </c>
      <c r="I7" s="4">
        <v>0</v>
      </c>
      <c r="J7" s="4">
        <v>2.654</v>
      </c>
      <c r="K7" s="4">
        <v>69.099</v>
      </c>
      <c r="L7" s="4">
        <v>263.762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23">
        <v>2166.636</v>
      </c>
    </row>
    <row r="8" spans="1:19" ht="15.75">
      <c r="A8" s="3">
        <v>26</v>
      </c>
      <c r="B8" s="4">
        <v>2147.138</v>
      </c>
      <c r="C8" s="4">
        <v>777.5959999999999</v>
      </c>
      <c r="D8" s="4">
        <v>0</v>
      </c>
      <c r="E8" s="4">
        <v>0</v>
      </c>
      <c r="F8" s="4">
        <v>91.892</v>
      </c>
      <c r="G8" s="4">
        <v>0</v>
      </c>
      <c r="H8" s="4">
        <v>0</v>
      </c>
      <c r="I8" s="4">
        <v>271.87800000000004</v>
      </c>
      <c r="J8" s="4">
        <v>14.093</v>
      </c>
      <c r="K8" s="4">
        <v>121.905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23">
        <v>3424.502</v>
      </c>
    </row>
    <row r="9" spans="1:19" ht="15.75">
      <c r="A9" s="3">
        <v>42</v>
      </c>
      <c r="B9" s="4">
        <v>1522.208</v>
      </c>
      <c r="C9" s="4">
        <v>553.082</v>
      </c>
      <c r="D9" s="4">
        <v>0</v>
      </c>
      <c r="E9" s="4">
        <v>0</v>
      </c>
      <c r="F9" s="4">
        <v>67.385</v>
      </c>
      <c r="G9" s="4">
        <v>0</v>
      </c>
      <c r="H9" s="4">
        <v>0</v>
      </c>
      <c r="I9" s="4">
        <v>0</v>
      </c>
      <c r="J9" s="4">
        <v>13.21</v>
      </c>
      <c r="K9" s="4">
        <v>177.823</v>
      </c>
      <c r="L9" s="4">
        <v>509.4440000000001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23">
        <v>2843.152</v>
      </c>
    </row>
    <row r="10" spans="1:19" ht="15.75">
      <c r="A10" s="3">
        <v>43</v>
      </c>
      <c r="B10" s="4">
        <v>2184.3360000000002</v>
      </c>
      <c r="C10" s="4">
        <v>792.668</v>
      </c>
      <c r="D10" s="4">
        <v>0</v>
      </c>
      <c r="E10" s="4">
        <v>0</v>
      </c>
      <c r="F10" s="4">
        <v>75.599</v>
      </c>
      <c r="G10" s="4">
        <v>0</v>
      </c>
      <c r="H10" s="4">
        <v>0</v>
      </c>
      <c r="I10" s="4">
        <v>429.907</v>
      </c>
      <c r="J10" s="4">
        <v>34.294</v>
      </c>
      <c r="K10" s="4">
        <v>107.62100000000001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23">
        <v>3624.4250000000006</v>
      </c>
    </row>
    <row r="11" spans="1:19" ht="15.75">
      <c r="A11" s="3">
        <v>44</v>
      </c>
      <c r="B11" s="4">
        <v>2374.367</v>
      </c>
      <c r="C11" s="4">
        <v>862.1389999999999</v>
      </c>
      <c r="D11" s="4">
        <v>0</v>
      </c>
      <c r="E11" s="4">
        <v>0</v>
      </c>
      <c r="F11" s="4">
        <v>104.215</v>
      </c>
      <c r="G11" s="4">
        <v>0</v>
      </c>
      <c r="H11" s="4">
        <v>0</v>
      </c>
      <c r="I11" s="4">
        <v>899.216</v>
      </c>
      <c r="J11" s="4">
        <v>27.19</v>
      </c>
      <c r="K11" s="4">
        <v>130.176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23">
        <v>4397.303</v>
      </c>
    </row>
    <row r="12" spans="1:19" ht="15.75">
      <c r="A12" s="3">
        <v>55</v>
      </c>
      <c r="B12" s="4">
        <v>2117.0829999999987</v>
      </c>
      <c r="C12" s="4">
        <v>767.7469999999998</v>
      </c>
      <c r="D12" s="4">
        <v>0</v>
      </c>
      <c r="E12" s="4">
        <v>0</v>
      </c>
      <c r="F12" s="4">
        <v>76.158</v>
      </c>
      <c r="G12" s="4">
        <v>0</v>
      </c>
      <c r="H12" s="4">
        <v>0</v>
      </c>
      <c r="I12" s="4">
        <v>448.755</v>
      </c>
      <c r="J12" s="4">
        <v>39.102000000000004</v>
      </c>
      <c r="K12" s="4">
        <v>148.753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3">
        <v>3597.597999999998</v>
      </c>
    </row>
    <row r="13" spans="1:19" ht="15.75">
      <c r="A13" s="3">
        <v>56</v>
      </c>
      <c r="B13" s="4">
        <v>1387.823</v>
      </c>
      <c r="C13" s="4">
        <v>502.796</v>
      </c>
      <c r="D13" s="4">
        <v>0</v>
      </c>
      <c r="E13" s="4">
        <v>0</v>
      </c>
      <c r="F13" s="4">
        <v>59.099000000000004</v>
      </c>
      <c r="G13" s="4">
        <v>0</v>
      </c>
      <c r="H13" s="4">
        <v>0</v>
      </c>
      <c r="I13" s="4">
        <v>0</v>
      </c>
      <c r="J13" s="4">
        <v>4.736000000000001</v>
      </c>
      <c r="K13" s="4">
        <v>71.52</v>
      </c>
      <c r="L13" s="4">
        <v>242.477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3">
        <v>2268.451</v>
      </c>
    </row>
    <row r="14" spans="1:19" ht="15.75">
      <c r="A14" s="3">
        <v>57</v>
      </c>
      <c r="B14" s="4">
        <v>4002.620999999999</v>
      </c>
      <c r="C14" s="4">
        <v>1452.8760000000002</v>
      </c>
      <c r="D14" s="4">
        <v>0</v>
      </c>
      <c r="E14" s="4">
        <v>0</v>
      </c>
      <c r="F14" s="4">
        <v>148.308</v>
      </c>
      <c r="G14" s="4">
        <v>0</v>
      </c>
      <c r="H14" s="4">
        <v>0</v>
      </c>
      <c r="I14" s="4">
        <v>451.4</v>
      </c>
      <c r="J14" s="4">
        <v>36.226</v>
      </c>
      <c r="K14" s="4">
        <v>139.916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3">
        <v>6231.347</v>
      </c>
    </row>
    <row r="15" spans="1:19" ht="15.75">
      <c r="A15" s="3">
        <v>64</v>
      </c>
      <c r="B15" s="4">
        <v>1499.36</v>
      </c>
      <c r="C15" s="4">
        <v>544.2520000000001</v>
      </c>
      <c r="D15" s="4">
        <v>0</v>
      </c>
      <c r="E15" s="4">
        <v>0</v>
      </c>
      <c r="F15" s="4">
        <v>70.596</v>
      </c>
      <c r="G15" s="4">
        <v>0</v>
      </c>
      <c r="H15" s="4">
        <v>0</v>
      </c>
      <c r="I15" s="4">
        <v>0</v>
      </c>
      <c r="J15" s="4">
        <v>4.465</v>
      </c>
      <c r="K15" s="4">
        <v>82.603</v>
      </c>
      <c r="L15" s="4">
        <v>337.462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23">
        <v>2538.7380000000003</v>
      </c>
    </row>
    <row r="16" spans="1:19" ht="15.75">
      <c r="A16" s="3">
        <v>68</v>
      </c>
      <c r="B16" s="4">
        <v>1246.9489999999998</v>
      </c>
      <c r="C16" s="4">
        <v>452.17900000000003</v>
      </c>
      <c r="D16" s="4">
        <v>0</v>
      </c>
      <c r="E16" s="4">
        <v>0</v>
      </c>
      <c r="F16" s="4">
        <v>45.28399999999999</v>
      </c>
      <c r="G16" s="4">
        <v>0</v>
      </c>
      <c r="H16" s="4">
        <v>0</v>
      </c>
      <c r="I16" s="4">
        <v>2347.348</v>
      </c>
      <c r="J16" s="4">
        <v>5.171</v>
      </c>
      <c r="K16" s="4">
        <v>90.645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3">
        <v>4187.575999999999</v>
      </c>
    </row>
    <row r="17" spans="1:19" ht="15.75">
      <c r="A17" s="3">
        <v>86</v>
      </c>
      <c r="B17" s="4">
        <v>1856.5269999999998</v>
      </c>
      <c r="C17" s="4">
        <v>673.5219999999999</v>
      </c>
      <c r="D17" s="4">
        <v>0</v>
      </c>
      <c r="E17" s="4">
        <v>0</v>
      </c>
      <c r="F17" s="4">
        <v>79.19299999999998</v>
      </c>
      <c r="G17" s="4">
        <v>0</v>
      </c>
      <c r="H17" s="4">
        <v>0</v>
      </c>
      <c r="I17" s="4">
        <v>0</v>
      </c>
      <c r="J17" s="4">
        <v>6.9270000000000005</v>
      </c>
      <c r="K17" s="4">
        <v>103.527</v>
      </c>
      <c r="L17" s="4">
        <v>450.812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23">
        <v>3170.5080000000003</v>
      </c>
    </row>
    <row r="18" spans="1:19" ht="15.75">
      <c r="A18" s="3">
        <v>114</v>
      </c>
      <c r="B18" s="4">
        <v>1283.3459999999998</v>
      </c>
      <c r="C18" s="4">
        <v>466.45</v>
      </c>
      <c r="D18" s="4">
        <v>0</v>
      </c>
      <c r="E18" s="4">
        <v>0</v>
      </c>
      <c r="F18" s="4">
        <v>45.513000000000005</v>
      </c>
      <c r="G18" s="4">
        <v>0</v>
      </c>
      <c r="H18" s="4">
        <v>0</v>
      </c>
      <c r="I18" s="4">
        <v>0</v>
      </c>
      <c r="J18" s="4">
        <v>3.401</v>
      </c>
      <c r="K18" s="4">
        <v>85.263</v>
      </c>
      <c r="L18" s="4">
        <v>300.135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3">
        <v>2184.1079999999997</v>
      </c>
    </row>
    <row r="19" spans="1:19" ht="15.75">
      <c r="A19" s="3">
        <v>115</v>
      </c>
      <c r="B19" s="4">
        <v>2497.3819999999996</v>
      </c>
      <c r="C19" s="4">
        <v>906.5489999999999</v>
      </c>
      <c r="D19" s="4">
        <v>0</v>
      </c>
      <c r="E19" s="4">
        <v>0</v>
      </c>
      <c r="F19" s="4">
        <v>97.194</v>
      </c>
      <c r="G19" s="4">
        <v>0</v>
      </c>
      <c r="H19" s="4">
        <v>0</v>
      </c>
      <c r="I19" s="4">
        <v>0</v>
      </c>
      <c r="J19" s="4">
        <v>11.233</v>
      </c>
      <c r="K19" s="4">
        <v>210.622</v>
      </c>
      <c r="L19" s="4">
        <v>831.635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23">
        <v>4554.615</v>
      </c>
    </row>
    <row r="20" spans="1:19" ht="15.75">
      <c r="A20" s="3">
        <v>116</v>
      </c>
      <c r="B20" s="4">
        <v>1332.898</v>
      </c>
      <c r="C20" s="4">
        <v>484.01</v>
      </c>
      <c r="D20" s="4">
        <v>0</v>
      </c>
      <c r="E20" s="4">
        <v>0</v>
      </c>
      <c r="F20" s="4">
        <v>56.433</v>
      </c>
      <c r="G20" s="4">
        <v>0</v>
      </c>
      <c r="H20" s="4">
        <v>0</v>
      </c>
      <c r="I20" s="4">
        <v>0</v>
      </c>
      <c r="J20" s="4">
        <v>10.152000000000001</v>
      </c>
      <c r="K20" s="4">
        <v>82.598</v>
      </c>
      <c r="L20" s="4">
        <v>364.343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23">
        <v>2330.4339999999997</v>
      </c>
    </row>
    <row r="21" spans="1:19" ht="15.75">
      <c r="A21" s="3">
        <v>117</v>
      </c>
      <c r="B21" s="4">
        <v>1464.5789999999997</v>
      </c>
      <c r="C21" s="4">
        <v>531.907</v>
      </c>
      <c r="D21" s="4">
        <v>0</v>
      </c>
      <c r="E21" s="4">
        <v>0</v>
      </c>
      <c r="F21" s="4">
        <v>59.546</v>
      </c>
      <c r="G21" s="4">
        <v>0</v>
      </c>
      <c r="H21" s="4">
        <v>0</v>
      </c>
      <c r="I21" s="4">
        <v>0</v>
      </c>
      <c r="J21" s="4">
        <v>5.513</v>
      </c>
      <c r="K21" s="4">
        <v>75.181</v>
      </c>
      <c r="L21" s="4">
        <v>236.353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23">
        <v>2373.0789999999997</v>
      </c>
    </row>
    <row r="22" spans="1:19" ht="15.75">
      <c r="A22" s="3">
        <v>131</v>
      </c>
      <c r="B22" s="4">
        <v>4426.19</v>
      </c>
      <c r="C22" s="4">
        <v>1603.0640000000003</v>
      </c>
      <c r="D22" s="4">
        <v>0</v>
      </c>
      <c r="E22" s="4">
        <v>0</v>
      </c>
      <c r="F22" s="4">
        <v>185.512</v>
      </c>
      <c r="G22" s="4">
        <v>0</v>
      </c>
      <c r="H22" s="4">
        <v>0</v>
      </c>
      <c r="I22" s="4">
        <v>514.379</v>
      </c>
      <c r="J22" s="4">
        <v>54.82900000000001</v>
      </c>
      <c r="K22" s="4">
        <v>234.406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23">
        <v>7018.38</v>
      </c>
    </row>
    <row r="23" spans="1:19" ht="15.75">
      <c r="A23" s="3">
        <v>133</v>
      </c>
      <c r="B23" s="4">
        <v>2779.424999999999</v>
      </c>
      <c r="C23" s="4">
        <v>1008.327</v>
      </c>
      <c r="D23" s="4">
        <v>0</v>
      </c>
      <c r="E23" s="4">
        <v>0</v>
      </c>
      <c r="F23" s="4">
        <v>125.019</v>
      </c>
      <c r="G23" s="4">
        <v>0</v>
      </c>
      <c r="H23" s="4">
        <v>0</v>
      </c>
      <c r="I23" s="4">
        <v>532.6010000000001</v>
      </c>
      <c r="J23" s="4">
        <v>38.15</v>
      </c>
      <c r="K23" s="4">
        <v>78.878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3">
        <v>4562.4</v>
      </c>
    </row>
    <row r="24" spans="1:19" ht="15.75">
      <c r="A24" s="3">
        <v>134</v>
      </c>
      <c r="B24" s="4">
        <v>3746.3730000000005</v>
      </c>
      <c r="C24" s="4">
        <v>1358.833</v>
      </c>
      <c r="D24" s="4">
        <v>0</v>
      </c>
      <c r="E24" s="4">
        <v>0</v>
      </c>
      <c r="F24" s="4">
        <v>176.487</v>
      </c>
      <c r="G24" s="4">
        <v>0</v>
      </c>
      <c r="H24" s="4">
        <v>0</v>
      </c>
      <c r="I24" s="4">
        <v>1894.367</v>
      </c>
      <c r="J24" s="4">
        <v>42.548</v>
      </c>
      <c r="K24" s="4">
        <v>212.931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3">
        <v>7431.539000000001</v>
      </c>
    </row>
    <row r="25" spans="1:19" ht="15.75">
      <c r="A25" s="3">
        <v>142</v>
      </c>
      <c r="B25" s="4">
        <v>3957.103</v>
      </c>
      <c r="C25" s="4">
        <v>1432.8539999999998</v>
      </c>
      <c r="D25" s="4">
        <v>0</v>
      </c>
      <c r="E25" s="4">
        <v>0</v>
      </c>
      <c r="F25" s="4">
        <v>187.639</v>
      </c>
      <c r="G25" s="4">
        <v>0</v>
      </c>
      <c r="H25" s="4">
        <v>0</v>
      </c>
      <c r="I25" s="4">
        <v>1746.594</v>
      </c>
      <c r="J25" s="4">
        <v>54.454</v>
      </c>
      <c r="K25" s="4">
        <v>521.145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3">
        <v>7899.789000000001</v>
      </c>
    </row>
    <row r="26" spans="1:19" ht="16.5" thickBot="1">
      <c r="A26" s="17" t="s">
        <v>21</v>
      </c>
      <c r="B26" s="4">
        <v>1504.502</v>
      </c>
      <c r="C26" s="4">
        <v>546.135</v>
      </c>
      <c r="D26" s="4">
        <v>0</v>
      </c>
      <c r="E26" s="4">
        <v>0</v>
      </c>
      <c r="F26" s="4">
        <v>6.467</v>
      </c>
      <c r="G26" s="4">
        <v>0</v>
      </c>
      <c r="H26" s="4">
        <v>0</v>
      </c>
      <c r="I26" s="4">
        <v>0</v>
      </c>
      <c r="J26" s="4">
        <v>4.145</v>
      </c>
      <c r="K26" s="4">
        <v>100.127</v>
      </c>
      <c r="L26" s="4">
        <v>267.447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3">
        <v>2428.823</v>
      </c>
    </row>
    <row r="27" spans="1:19" ht="16.5" thickBot="1">
      <c r="A27" s="19" t="s">
        <v>38</v>
      </c>
      <c r="B27" s="22">
        <v>47317.926</v>
      </c>
      <c r="C27" s="22">
        <v>17166.224</v>
      </c>
      <c r="D27" s="20">
        <v>0</v>
      </c>
      <c r="E27" s="20">
        <v>0</v>
      </c>
      <c r="F27" s="22">
        <v>1920.87</v>
      </c>
      <c r="G27" s="20">
        <v>0</v>
      </c>
      <c r="H27" s="20">
        <v>0</v>
      </c>
      <c r="I27" s="22">
        <v>10811.359</v>
      </c>
      <c r="J27" s="20">
        <v>437.761</v>
      </c>
      <c r="K27" s="20">
        <v>3032.781</v>
      </c>
      <c r="L27" s="22">
        <v>3803.87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1">
        <v>84490.791</v>
      </c>
    </row>
    <row r="30" ht="15.75">
      <c r="A30" s="28" t="s">
        <v>42</v>
      </c>
    </row>
  </sheetData>
  <mergeCells count="1">
    <mergeCell ref="E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H37" sqref="H37"/>
    </sheetView>
  </sheetViews>
  <sheetFormatPr defaultColWidth="9.00390625" defaultRowHeight="12.75"/>
  <cols>
    <col min="2" max="2" width="5.125" style="0" customWidth="1"/>
    <col min="3" max="3" width="8.125" style="0" customWidth="1"/>
    <col min="4" max="4" width="9.625" style="0" bestFit="1" customWidth="1"/>
    <col min="5" max="5" width="5.625" style="0" customWidth="1"/>
    <col min="6" max="6" width="8.00390625" style="0" customWidth="1"/>
    <col min="8" max="8" width="4.75390625" style="0" customWidth="1"/>
    <col min="11" max="11" width="5.00390625" style="0" customWidth="1"/>
    <col min="12" max="12" width="7.625" style="0" customWidth="1"/>
    <col min="14" max="14" width="6.125" style="0" customWidth="1"/>
    <col min="15" max="15" width="8.00390625" style="0" customWidth="1"/>
    <col min="17" max="17" width="5.00390625" style="0" customWidth="1"/>
    <col min="18" max="18" width="7.375" style="0" customWidth="1"/>
    <col min="20" max="20" width="5.375" style="0" customWidth="1"/>
    <col min="23" max="23" width="6.00390625" style="0" customWidth="1"/>
    <col min="26" max="26" width="6.375" style="0" customWidth="1"/>
    <col min="29" max="29" width="5.625" style="0" customWidth="1"/>
    <col min="32" max="32" width="9.625" style="0" bestFit="1" customWidth="1"/>
  </cols>
  <sheetData>
    <row r="1" spans="1:13" ht="12.7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6" ht="12.75">
      <c r="A3" t="s">
        <v>34</v>
      </c>
      <c r="F3" t="s">
        <v>44</v>
      </c>
    </row>
    <row r="5" spans="1:33" ht="12.75">
      <c r="A5" s="31" t="s">
        <v>45</v>
      </c>
      <c r="B5" s="32" t="s">
        <v>46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2" t="s">
        <v>47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32" t="s">
        <v>48</v>
      </c>
      <c r="AG5" s="34"/>
    </row>
    <row r="6" spans="1:33" ht="12.75">
      <c r="A6" s="31"/>
      <c r="B6" s="32" t="s">
        <v>49</v>
      </c>
      <c r="C6" s="33"/>
      <c r="D6" s="34"/>
      <c r="E6" s="32" t="s">
        <v>50</v>
      </c>
      <c r="F6" s="33"/>
      <c r="G6" s="34"/>
      <c r="H6" s="32" t="s">
        <v>51</v>
      </c>
      <c r="I6" s="33"/>
      <c r="J6" s="34"/>
      <c r="K6" s="32" t="s">
        <v>52</v>
      </c>
      <c r="L6" s="33"/>
      <c r="M6" s="34"/>
      <c r="N6" s="32" t="s">
        <v>53</v>
      </c>
      <c r="O6" s="33"/>
      <c r="P6" s="34"/>
      <c r="Q6" s="32" t="s">
        <v>54</v>
      </c>
      <c r="R6" s="33"/>
      <c r="S6" s="34"/>
      <c r="T6" s="31" t="s">
        <v>55</v>
      </c>
      <c r="U6" s="31"/>
      <c r="V6" s="31"/>
      <c r="W6" s="31" t="s">
        <v>56</v>
      </c>
      <c r="X6" s="31"/>
      <c r="Y6" s="31"/>
      <c r="Z6" s="32" t="s">
        <v>57</v>
      </c>
      <c r="AA6" s="33"/>
      <c r="AB6" s="34"/>
      <c r="AC6" s="32" t="s">
        <v>58</v>
      </c>
      <c r="AD6" s="33"/>
      <c r="AE6" s="34"/>
      <c r="AF6" s="31"/>
      <c r="AG6" s="31"/>
    </row>
    <row r="7" spans="1:33" ht="12.75">
      <c r="A7" s="31"/>
      <c r="B7" s="31" t="s">
        <v>59</v>
      </c>
      <c r="C7" s="31" t="s">
        <v>60</v>
      </c>
      <c r="D7" s="31" t="s">
        <v>61</v>
      </c>
      <c r="E7" s="31" t="s">
        <v>59</v>
      </c>
      <c r="F7" s="31" t="s">
        <v>60</v>
      </c>
      <c r="G7" s="31" t="s">
        <v>61</v>
      </c>
      <c r="H7" s="31" t="s">
        <v>59</v>
      </c>
      <c r="I7" s="31" t="s">
        <v>60</v>
      </c>
      <c r="J7" s="31" t="s">
        <v>61</v>
      </c>
      <c r="K7" s="31" t="s">
        <v>59</v>
      </c>
      <c r="L7" s="31" t="s">
        <v>60</v>
      </c>
      <c r="M7" s="31" t="s">
        <v>61</v>
      </c>
      <c r="N7" s="31" t="s">
        <v>59</v>
      </c>
      <c r="O7" s="31" t="s">
        <v>60</v>
      </c>
      <c r="P7" s="31" t="s">
        <v>61</v>
      </c>
      <c r="Q7" s="31" t="s">
        <v>59</v>
      </c>
      <c r="R7" s="31" t="s">
        <v>60</v>
      </c>
      <c r="S7" s="31" t="s">
        <v>61</v>
      </c>
      <c r="T7" s="31" t="s">
        <v>59</v>
      </c>
      <c r="U7" s="31" t="s">
        <v>60</v>
      </c>
      <c r="V7" s="31" t="s">
        <v>61</v>
      </c>
      <c r="W7" s="31" t="s">
        <v>59</v>
      </c>
      <c r="X7" s="31" t="s">
        <v>60</v>
      </c>
      <c r="Y7" s="31" t="s">
        <v>61</v>
      </c>
      <c r="Z7" s="31" t="s">
        <v>59</v>
      </c>
      <c r="AA7" s="31" t="s">
        <v>60</v>
      </c>
      <c r="AB7" s="31" t="s">
        <v>61</v>
      </c>
      <c r="AC7" s="31" t="s">
        <v>59</v>
      </c>
      <c r="AD7" s="31" t="s">
        <v>60</v>
      </c>
      <c r="AE7" s="31" t="s">
        <v>61</v>
      </c>
      <c r="AF7" s="31" t="s">
        <v>62</v>
      </c>
      <c r="AG7" s="31" t="s">
        <v>63</v>
      </c>
    </row>
    <row r="8" spans="1:33" ht="12.75">
      <c r="A8" s="31" t="s">
        <v>64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1</v>
      </c>
      <c r="U8" s="35">
        <v>141</v>
      </c>
      <c r="V8" s="35">
        <v>141</v>
      </c>
      <c r="W8" s="31">
        <v>1</v>
      </c>
      <c r="X8" s="35">
        <v>174</v>
      </c>
      <c r="Y8" s="35">
        <v>174</v>
      </c>
      <c r="Z8" s="31">
        <v>1</v>
      </c>
      <c r="AA8" s="35">
        <v>135</v>
      </c>
      <c r="AB8" s="35">
        <v>135</v>
      </c>
      <c r="AC8" s="31">
        <v>1</v>
      </c>
      <c r="AD8" s="35">
        <v>153</v>
      </c>
      <c r="AE8" s="35">
        <v>153</v>
      </c>
      <c r="AF8" s="35">
        <v>603</v>
      </c>
      <c r="AG8" s="31">
        <v>0.603</v>
      </c>
    </row>
    <row r="9" spans="1:33" ht="12.75">
      <c r="A9" s="31">
        <v>16</v>
      </c>
      <c r="B9" s="31">
        <v>60</v>
      </c>
      <c r="C9" s="35">
        <v>319.92</v>
      </c>
      <c r="D9" s="35">
        <v>19195.2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>
        <v>1</v>
      </c>
      <c r="U9" s="35">
        <v>141</v>
      </c>
      <c r="V9" s="35">
        <v>141</v>
      </c>
      <c r="W9" s="31">
        <v>1</v>
      </c>
      <c r="X9" s="35">
        <v>174</v>
      </c>
      <c r="Y9" s="35">
        <v>174</v>
      </c>
      <c r="Z9" s="31">
        <v>1</v>
      </c>
      <c r="AA9" s="35">
        <v>135</v>
      </c>
      <c r="AB9" s="35">
        <v>135</v>
      </c>
      <c r="AC9" s="31">
        <v>1</v>
      </c>
      <c r="AD9" s="35">
        <v>153</v>
      </c>
      <c r="AE9" s="35">
        <v>153</v>
      </c>
      <c r="AF9" s="35">
        <v>19798.2</v>
      </c>
      <c r="AG9" s="31">
        <v>19.798</v>
      </c>
    </row>
    <row r="10" spans="1:33" ht="12.75">
      <c r="A10" s="31">
        <v>17</v>
      </c>
      <c r="B10" s="31"/>
      <c r="C10" s="35"/>
      <c r="D10" s="35"/>
      <c r="E10" s="31">
        <v>20</v>
      </c>
      <c r="F10" s="31">
        <v>1217.52</v>
      </c>
      <c r="G10" s="35">
        <v>24350.4</v>
      </c>
      <c r="H10" s="31">
        <v>10</v>
      </c>
      <c r="I10" s="35">
        <v>500</v>
      </c>
      <c r="J10" s="35">
        <v>5000</v>
      </c>
      <c r="K10" s="31"/>
      <c r="L10" s="31"/>
      <c r="M10" s="31"/>
      <c r="N10" s="31"/>
      <c r="O10" s="31"/>
      <c r="P10" s="31"/>
      <c r="Q10" s="31">
        <v>5</v>
      </c>
      <c r="R10" s="35">
        <v>1800</v>
      </c>
      <c r="S10" s="35">
        <v>9000</v>
      </c>
      <c r="T10" s="31">
        <v>1</v>
      </c>
      <c r="U10" s="35">
        <v>141</v>
      </c>
      <c r="V10" s="35">
        <v>141</v>
      </c>
      <c r="W10" s="31">
        <v>1</v>
      </c>
      <c r="X10" s="35">
        <v>174</v>
      </c>
      <c r="Y10" s="35">
        <v>174</v>
      </c>
      <c r="Z10" s="31">
        <v>1</v>
      </c>
      <c r="AA10" s="35">
        <v>135</v>
      </c>
      <c r="AB10" s="35">
        <v>135</v>
      </c>
      <c r="AC10" s="31">
        <v>1</v>
      </c>
      <c r="AD10" s="35">
        <v>153</v>
      </c>
      <c r="AE10" s="35">
        <v>153</v>
      </c>
      <c r="AF10" s="35">
        <v>38953.4</v>
      </c>
      <c r="AG10" s="31">
        <v>38.954</v>
      </c>
    </row>
    <row r="11" spans="1:33" ht="12.75">
      <c r="A11" s="31">
        <v>21</v>
      </c>
      <c r="B11" s="31"/>
      <c r="C11" s="35"/>
      <c r="D11" s="35"/>
      <c r="E11" s="31"/>
      <c r="F11" s="31"/>
      <c r="G11" s="35"/>
      <c r="H11" s="31"/>
      <c r="I11" s="35"/>
      <c r="J11" s="35"/>
      <c r="K11" s="31"/>
      <c r="L11" s="31"/>
      <c r="M11" s="31"/>
      <c r="N11" s="31"/>
      <c r="O11" s="31"/>
      <c r="P11" s="31"/>
      <c r="Q11" s="31"/>
      <c r="R11" s="35"/>
      <c r="S11" s="35"/>
      <c r="T11" s="31">
        <v>1</v>
      </c>
      <c r="U11" s="35">
        <v>141</v>
      </c>
      <c r="V11" s="35">
        <v>141</v>
      </c>
      <c r="W11" s="31">
        <v>1</v>
      </c>
      <c r="X11" s="35">
        <v>174</v>
      </c>
      <c r="Y11" s="35">
        <v>174</v>
      </c>
      <c r="Z11" s="31">
        <v>1</v>
      </c>
      <c r="AA11" s="35">
        <v>135</v>
      </c>
      <c r="AB11" s="35">
        <v>135</v>
      </c>
      <c r="AC11" s="31">
        <v>1</v>
      </c>
      <c r="AD11" s="35">
        <v>153</v>
      </c>
      <c r="AE11" s="35">
        <v>153</v>
      </c>
      <c r="AF11" s="35">
        <v>603</v>
      </c>
      <c r="AG11" s="31">
        <v>0.603</v>
      </c>
    </row>
    <row r="12" spans="1:33" ht="12.75">
      <c r="A12" s="31">
        <v>22</v>
      </c>
      <c r="B12" s="31"/>
      <c r="C12" s="35"/>
      <c r="D12" s="35"/>
      <c r="E12" s="31"/>
      <c r="F12" s="31"/>
      <c r="G12" s="35"/>
      <c r="H12" s="31"/>
      <c r="I12" s="35"/>
      <c r="J12" s="35"/>
      <c r="K12" s="31"/>
      <c r="L12" s="31"/>
      <c r="M12" s="31"/>
      <c r="N12" s="31"/>
      <c r="O12" s="31"/>
      <c r="P12" s="31"/>
      <c r="Q12" s="31"/>
      <c r="R12" s="35"/>
      <c r="S12" s="35"/>
      <c r="T12" s="31">
        <v>1</v>
      </c>
      <c r="U12" s="35">
        <v>141</v>
      </c>
      <c r="V12" s="35">
        <v>141</v>
      </c>
      <c r="W12" s="31">
        <v>1</v>
      </c>
      <c r="X12" s="35">
        <v>174</v>
      </c>
      <c r="Y12" s="35">
        <v>174</v>
      </c>
      <c r="Z12" s="31">
        <v>1</v>
      </c>
      <c r="AA12" s="35">
        <v>135</v>
      </c>
      <c r="AB12" s="35">
        <v>135</v>
      </c>
      <c r="AC12" s="31">
        <v>1</v>
      </c>
      <c r="AD12" s="35">
        <v>153</v>
      </c>
      <c r="AE12" s="35">
        <v>153</v>
      </c>
      <c r="AF12" s="35">
        <v>603</v>
      </c>
      <c r="AG12" s="31">
        <v>0.603</v>
      </c>
    </row>
    <row r="13" spans="1:33" ht="12.75">
      <c r="A13" s="31">
        <v>45</v>
      </c>
      <c r="B13" s="31"/>
      <c r="C13" s="35"/>
      <c r="D13" s="35"/>
      <c r="E13" s="31"/>
      <c r="F13" s="31"/>
      <c r="G13" s="35"/>
      <c r="H13" s="31"/>
      <c r="I13" s="35"/>
      <c r="J13" s="35"/>
      <c r="K13" s="31"/>
      <c r="L13" s="31"/>
      <c r="M13" s="31"/>
      <c r="N13" s="31"/>
      <c r="O13" s="31"/>
      <c r="P13" s="31"/>
      <c r="Q13" s="31"/>
      <c r="R13" s="35"/>
      <c r="S13" s="35"/>
      <c r="T13" s="31">
        <v>1</v>
      </c>
      <c r="U13" s="35">
        <v>141</v>
      </c>
      <c r="V13" s="35">
        <v>141</v>
      </c>
      <c r="W13" s="31">
        <v>1</v>
      </c>
      <c r="X13" s="35">
        <v>174</v>
      </c>
      <c r="Y13" s="35">
        <v>174</v>
      </c>
      <c r="Z13" s="31">
        <v>1</v>
      </c>
      <c r="AA13" s="35">
        <v>135</v>
      </c>
      <c r="AB13" s="35">
        <v>135</v>
      </c>
      <c r="AC13" s="31">
        <v>1</v>
      </c>
      <c r="AD13" s="35">
        <v>153</v>
      </c>
      <c r="AE13" s="35">
        <v>153</v>
      </c>
      <c r="AF13" s="35">
        <v>603</v>
      </c>
      <c r="AG13" s="31">
        <v>0.603</v>
      </c>
    </row>
    <row r="14" spans="1:33" ht="12.75">
      <c r="A14" s="31">
        <v>86</v>
      </c>
      <c r="B14" s="31"/>
      <c r="C14" s="35"/>
      <c r="D14" s="35"/>
      <c r="E14" s="31"/>
      <c r="F14" s="31"/>
      <c r="G14" s="35"/>
      <c r="H14" s="31"/>
      <c r="I14" s="35"/>
      <c r="J14" s="35"/>
      <c r="K14" s="31"/>
      <c r="L14" s="31"/>
      <c r="M14" s="31"/>
      <c r="N14" s="31"/>
      <c r="O14" s="31"/>
      <c r="P14" s="31"/>
      <c r="Q14" s="31"/>
      <c r="R14" s="35"/>
      <c r="S14" s="35"/>
      <c r="T14" s="31">
        <v>1</v>
      </c>
      <c r="U14" s="35">
        <v>141</v>
      </c>
      <c r="V14" s="35">
        <v>141</v>
      </c>
      <c r="W14" s="31">
        <v>1</v>
      </c>
      <c r="X14" s="35">
        <v>174</v>
      </c>
      <c r="Y14" s="35">
        <v>174</v>
      </c>
      <c r="Z14" s="31">
        <v>1</v>
      </c>
      <c r="AA14" s="35">
        <v>135</v>
      </c>
      <c r="AB14" s="35">
        <v>135</v>
      </c>
      <c r="AC14" s="31">
        <v>1</v>
      </c>
      <c r="AD14" s="35">
        <v>153</v>
      </c>
      <c r="AE14" s="35">
        <v>153</v>
      </c>
      <c r="AF14" s="35">
        <v>603</v>
      </c>
      <c r="AG14" s="31">
        <v>0.603</v>
      </c>
    </row>
    <row r="15" spans="1:33" ht="12.75">
      <c r="A15" s="31">
        <v>90</v>
      </c>
      <c r="B15" s="31"/>
      <c r="C15" s="35"/>
      <c r="D15" s="35"/>
      <c r="E15" s="31"/>
      <c r="F15" s="31"/>
      <c r="G15" s="35"/>
      <c r="H15" s="31"/>
      <c r="I15" s="35"/>
      <c r="J15" s="35"/>
      <c r="K15" s="31"/>
      <c r="L15" s="31"/>
      <c r="M15" s="31"/>
      <c r="N15" s="31"/>
      <c r="O15" s="31"/>
      <c r="P15" s="31"/>
      <c r="Q15" s="31"/>
      <c r="R15" s="35"/>
      <c r="S15" s="35"/>
      <c r="T15" s="31">
        <v>1</v>
      </c>
      <c r="U15" s="35">
        <v>141</v>
      </c>
      <c r="V15" s="35">
        <v>141</v>
      </c>
      <c r="W15" s="31">
        <v>1</v>
      </c>
      <c r="X15" s="35">
        <v>174</v>
      </c>
      <c r="Y15" s="35">
        <v>174</v>
      </c>
      <c r="Z15" s="31">
        <v>1</v>
      </c>
      <c r="AA15" s="35">
        <v>135</v>
      </c>
      <c r="AB15" s="35">
        <v>135</v>
      </c>
      <c r="AC15" s="31">
        <v>1</v>
      </c>
      <c r="AD15" s="35">
        <v>153</v>
      </c>
      <c r="AE15" s="35">
        <v>153</v>
      </c>
      <c r="AF15" s="35">
        <v>603</v>
      </c>
      <c r="AG15" s="31">
        <v>0.603</v>
      </c>
    </row>
    <row r="16" spans="1:33" ht="12.75">
      <c r="A16" s="31">
        <v>94</v>
      </c>
      <c r="B16" s="31"/>
      <c r="C16" s="35"/>
      <c r="D16" s="35"/>
      <c r="E16" s="31"/>
      <c r="F16" s="31"/>
      <c r="G16" s="35"/>
      <c r="H16" s="31"/>
      <c r="I16" s="35"/>
      <c r="J16" s="35"/>
      <c r="K16" s="31"/>
      <c r="L16" s="31"/>
      <c r="M16" s="31"/>
      <c r="N16" s="31"/>
      <c r="O16" s="31"/>
      <c r="P16" s="31"/>
      <c r="Q16" s="31"/>
      <c r="R16" s="35"/>
      <c r="S16" s="35"/>
      <c r="T16" s="31">
        <v>1</v>
      </c>
      <c r="U16" s="35">
        <v>141</v>
      </c>
      <c r="V16" s="35">
        <v>141</v>
      </c>
      <c r="W16" s="31">
        <v>1</v>
      </c>
      <c r="X16" s="35">
        <v>174</v>
      </c>
      <c r="Y16" s="35">
        <v>174</v>
      </c>
      <c r="Z16" s="31">
        <v>1</v>
      </c>
      <c r="AA16" s="35">
        <v>135</v>
      </c>
      <c r="AB16" s="35">
        <v>135</v>
      </c>
      <c r="AC16" s="31">
        <v>1</v>
      </c>
      <c r="AD16" s="35">
        <v>153</v>
      </c>
      <c r="AE16" s="35">
        <v>153</v>
      </c>
      <c r="AF16" s="35">
        <v>603</v>
      </c>
      <c r="AG16" s="31">
        <v>0.603</v>
      </c>
    </row>
    <row r="17" spans="1:33" ht="12.75">
      <c r="A17" s="31">
        <v>116</v>
      </c>
      <c r="B17" s="31"/>
      <c r="C17" s="35"/>
      <c r="D17" s="35"/>
      <c r="E17" s="31"/>
      <c r="F17" s="31"/>
      <c r="G17" s="35"/>
      <c r="H17" s="31"/>
      <c r="I17" s="35"/>
      <c r="J17" s="35"/>
      <c r="K17" s="31"/>
      <c r="L17" s="31"/>
      <c r="M17" s="31"/>
      <c r="N17" s="31"/>
      <c r="O17" s="31"/>
      <c r="P17" s="31"/>
      <c r="Q17" s="31"/>
      <c r="R17" s="35"/>
      <c r="S17" s="35"/>
      <c r="T17" s="31">
        <v>1</v>
      </c>
      <c r="U17" s="35">
        <v>141</v>
      </c>
      <c r="V17" s="35">
        <v>141</v>
      </c>
      <c r="W17" s="31">
        <v>1</v>
      </c>
      <c r="X17" s="35">
        <v>174</v>
      </c>
      <c r="Y17" s="35">
        <v>174</v>
      </c>
      <c r="Z17" s="31">
        <v>1</v>
      </c>
      <c r="AA17" s="35">
        <v>135</v>
      </c>
      <c r="AB17" s="35">
        <v>135</v>
      </c>
      <c r="AC17" s="31">
        <v>1</v>
      </c>
      <c r="AD17" s="35">
        <v>153</v>
      </c>
      <c r="AE17" s="35">
        <v>153</v>
      </c>
      <c r="AF17" s="35">
        <v>603</v>
      </c>
      <c r="AG17" s="31">
        <v>0.603</v>
      </c>
    </row>
    <row r="18" spans="1:33" ht="12.75">
      <c r="A18" s="31">
        <v>206</v>
      </c>
      <c r="B18" s="31"/>
      <c r="C18" s="35"/>
      <c r="D18" s="35"/>
      <c r="E18" s="31"/>
      <c r="F18" s="31"/>
      <c r="G18" s="35"/>
      <c r="H18" s="31"/>
      <c r="I18" s="35"/>
      <c r="J18" s="35"/>
      <c r="K18" s="31"/>
      <c r="L18" s="31"/>
      <c r="M18" s="31"/>
      <c r="N18" s="31"/>
      <c r="O18" s="31"/>
      <c r="P18" s="31"/>
      <c r="Q18" s="31"/>
      <c r="R18" s="35"/>
      <c r="S18" s="35"/>
      <c r="T18" s="31">
        <v>1</v>
      </c>
      <c r="U18" s="35">
        <v>141</v>
      </c>
      <c r="V18" s="35">
        <v>141</v>
      </c>
      <c r="W18" s="31">
        <v>1</v>
      </c>
      <c r="X18" s="35">
        <v>174</v>
      </c>
      <c r="Y18" s="35">
        <v>174</v>
      </c>
      <c r="Z18" s="31">
        <v>1</v>
      </c>
      <c r="AA18" s="35">
        <v>135</v>
      </c>
      <c r="AB18" s="35">
        <v>135</v>
      </c>
      <c r="AC18" s="31">
        <v>1</v>
      </c>
      <c r="AD18" s="35">
        <v>153</v>
      </c>
      <c r="AE18" s="35">
        <v>153</v>
      </c>
      <c r="AF18" s="35">
        <v>603</v>
      </c>
      <c r="AG18" s="31">
        <v>0.603</v>
      </c>
    </row>
    <row r="19" spans="1:33" ht="12.75">
      <c r="A19" s="31">
        <v>267</v>
      </c>
      <c r="B19" s="31"/>
      <c r="C19" s="35"/>
      <c r="D19" s="35"/>
      <c r="E19" s="31"/>
      <c r="F19" s="31"/>
      <c r="G19" s="35"/>
      <c r="H19" s="31"/>
      <c r="I19" s="35"/>
      <c r="J19" s="35"/>
      <c r="K19" s="31"/>
      <c r="L19" s="31"/>
      <c r="M19" s="31"/>
      <c r="N19" s="31"/>
      <c r="O19" s="31"/>
      <c r="P19" s="31"/>
      <c r="Q19" s="31"/>
      <c r="R19" s="35"/>
      <c r="S19" s="35"/>
      <c r="T19" s="31">
        <v>1</v>
      </c>
      <c r="U19" s="35">
        <v>141</v>
      </c>
      <c r="V19" s="35">
        <v>141</v>
      </c>
      <c r="W19" s="31">
        <v>1</v>
      </c>
      <c r="X19" s="35">
        <v>174</v>
      </c>
      <c r="Y19" s="35">
        <v>174</v>
      </c>
      <c r="Z19" s="31">
        <v>1</v>
      </c>
      <c r="AA19" s="35">
        <v>135</v>
      </c>
      <c r="AB19" s="35">
        <v>135</v>
      </c>
      <c r="AC19" s="31">
        <v>1</v>
      </c>
      <c r="AD19" s="35">
        <v>153</v>
      </c>
      <c r="AE19" s="35">
        <v>153</v>
      </c>
      <c r="AF19" s="35">
        <v>603</v>
      </c>
      <c r="AG19" s="31">
        <v>0.603</v>
      </c>
    </row>
    <row r="20" spans="1:33" ht="12.75">
      <c r="A20" s="31">
        <v>269</v>
      </c>
      <c r="B20" s="31"/>
      <c r="C20" s="35"/>
      <c r="D20" s="35"/>
      <c r="E20" s="31"/>
      <c r="F20" s="31"/>
      <c r="G20" s="35"/>
      <c r="H20" s="31"/>
      <c r="I20" s="35"/>
      <c r="J20" s="35"/>
      <c r="K20" s="31"/>
      <c r="L20" s="31"/>
      <c r="M20" s="31"/>
      <c r="N20" s="31"/>
      <c r="O20" s="31"/>
      <c r="P20" s="31"/>
      <c r="Q20" s="31"/>
      <c r="R20" s="35"/>
      <c r="S20" s="35"/>
      <c r="T20" s="31">
        <v>1</v>
      </c>
      <c r="U20" s="35">
        <v>141</v>
      </c>
      <c r="V20" s="35">
        <v>141</v>
      </c>
      <c r="W20" s="31">
        <v>1</v>
      </c>
      <c r="X20" s="35">
        <v>174</v>
      </c>
      <c r="Y20" s="35">
        <v>174</v>
      </c>
      <c r="Z20" s="31">
        <v>1</v>
      </c>
      <c r="AA20" s="35">
        <v>135</v>
      </c>
      <c r="AB20" s="35">
        <v>135</v>
      </c>
      <c r="AC20" s="31">
        <v>1</v>
      </c>
      <c r="AD20" s="35">
        <v>153</v>
      </c>
      <c r="AE20" s="35">
        <v>153</v>
      </c>
      <c r="AF20" s="35">
        <v>603</v>
      </c>
      <c r="AG20" s="31">
        <v>0.603</v>
      </c>
    </row>
    <row r="21" spans="1:33" ht="12.75">
      <c r="A21" s="31">
        <v>278</v>
      </c>
      <c r="B21" s="31"/>
      <c r="C21" s="35"/>
      <c r="D21" s="35"/>
      <c r="E21" s="31">
        <v>20</v>
      </c>
      <c r="F21" s="31">
        <v>1217.52</v>
      </c>
      <c r="G21" s="35">
        <v>24350.4</v>
      </c>
      <c r="H21" s="31">
        <v>10</v>
      </c>
      <c r="I21" s="35">
        <v>500</v>
      </c>
      <c r="J21" s="35">
        <v>5000</v>
      </c>
      <c r="K21" s="31"/>
      <c r="L21" s="31"/>
      <c r="M21" s="31"/>
      <c r="N21" s="31"/>
      <c r="O21" s="31"/>
      <c r="P21" s="31"/>
      <c r="Q21" s="31"/>
      <c r="R21" s="35"/>
      <c r="S21" s="35"/>
      <c r="T21" s="31">
        <v>1</v>
      </c>
      <c r="U21" s="35">
        <v>141</v>
      </c>
      <c r="V21" s="35">
        <v>141</v>
      </c>
      <c r="W21" s="31">
        <v>1</v>
      </c>
      <c r="X21" s="35">
        <v>174</v>
      </c>
      <c r="Y21" s="35">
        <v>174</v>
      </c>
      <c r="Z21" s="31">
        <v>1</v>
      </c>
      <c r="AA21" s="35">
        <v>135</v>
      </c>
      <c r="AB21" s="35">
        <v>135</v>
      </c>
      <c r="AC21" s="31">
        <v>1</v>
      </c>
      <c r="AD21" s="35">
        <v>153</v>
      </c>
      <c r="AE21" s="35">
        <v>153</v>
      </c>
      <c r="AF21" s="35">
        <v>29953.4</v>
      </c>
      <c r="AG21" s="31">
        <v>29.953</v>
      </c>
    </row>
    <row r="22" spans="1:33" ht="12.75">
      <c r="A22" s="31">
        <v>286</v>
      </c>
      <c r="B22" s="31"/>
      <c r="C22" s="35"/>
      <c r="D22" s="35"/>
      <c r="E22" s="31"/>
      <c r="F22" s="31"/>
      <c r="G22" s="35"/>
      <c r="H22" s="31"/>
      <c r="I22" s="35"/>
      <c r="J22" s="35"/>
      <c r="K22" s="31"/>
      <c r="L22" s="31"/>
      <c r="M22" s="31"/>
      <c r="N22" s="31"/>
      <c r="O22" s="31"/>
      <c r="P22" s="31"/>
      <c r="Q22" s="31"/>
      <c r="R22" s="35"/>
      <c r="S22" s="35"/>
      <c r="T22" s="31"/>
      <c r="U22" s="35"/>
      <c r="V22" s="35">
        <v>0</v>
      </c>
      <c r="W22" s="31"/>
      <c r="X22" s="35"/>
      <c r="Y22" s="35">
        <v>0</v>
      </c>
      <c r="Z22" s="31"/>
      <c r="AA22" s="35"/>
      <c r="AB22" s="35">
        <v>0</v>
      </c>
      <c r="AC22" s="31"/>
      <c r="AD22" s="35"/>
      <c r="AE22" s="35">
        <v>0</v>
      </c>
      <c r="AF22" s="35">
        <v>0</v>
      </c>
      <c r="AG22" s="31">
        <v>0</v>
      </c>
    </row>
    <row r="23" spans="1:33" ht="12.75">
      <c r="A23" s="31">
        <v>317</v>
      </c>
      <c r="B23" s="31"/>
      <c r="C23" s="35"/>
      <c r="D23" s="35"/>
      <c r="E23" s="31"/>
      <c r="F23" s="31"/>
      <c r="G23" s="35"/>
      <c r="H23" s="31"/>
      <c r="I23" s="35"/>
      <c r="J23" s="35"/>
      <c r="K23" s="31"/>
      <c r="L23" s="31"/>
      <c r="M23" s="31"/>
      <c r="N23" s="31"/>
      <c r="O23" s="31"/>
      <c r="P23" s="31"/>
      <c r="Q23" s="31"/>
      <c r="R23" s="35"/>
      <c r="S23" s="35"/>
      <c r="T23" s="31">
        <v>1</v>
      </c>
      <c r="U23" s="35">
        <v>141</v>
      </c>
      <c r="V23" s="35">
        <v>141</v>
      </c>
      <c r="W23" s="31">
        <v>1</v>
      </c>
      <c r="X23" s="35">
        <v>174</v>
      </c>
      <c r="Y23" s="35">
        <v>174</v>
      </c>
      <c r="Z23" s="31">
        <v>1</v>
      </c>
      <c r="AA23" s="35">
        <v>135</v>
      </c>
      <c r="AB23" s="35">
        <v>135</v>
      </c>
      <c r="AC23" s="31">
        <v>1</v>
      </c>
      <c r="AD23" s="35">
        <v>153</v>
      </c>
      <c r="AE23" s="35">
        <v>153</v>
      </c>
      <c r="AF23" s="35">
        <v>603</v>
      </c>
      <c r="AG23" s="31">
        <v>0.603</v>
      </c>
    </row>
    <row r="24" spans="1:33" ht="12.75">
      <c r="A24" s="31">
        <v>323</v>
      </c>
      <c r="B24" s="31"/>
      <c r="C24" s="35"/>
      <c r="D24" s="35"/>
      <c r="E24" s="31"/>
      <c r="F24" s="31"/>
      <c r="G24" s="35"/>
      <c r="H24" s="31">
        <v>10</v>
      </c>
      <c r="I24" s="35">
        <v>500</v>
      </c>
      <c r="J24" s="35">
        <v>5000</v>
      </c>
      <c r="K24" s="31">
        <v>20</v>
      </c>
      <c r="L24" s="35">
        <v>200</v>
      </c>
      <c r="M24" s="35">
        <v>4000</v>
      </c>
      <c r="N24" s="31">
        <v>4</v>
      </c>
      <c r="O24" s="35">
        <v>1500</v>
      </c>
      <c r="P24" s="35">
        <v>6000</v>
      </c>
      <c r="Q24" s="31"/>
      <c r="R24" s="35"/>
      <c r="S24" s="35"/>
      <c r="T24" s="31">
        <v>1</v>
      </c>
      <c r="U24" s="35">
        <v>141</v>
      </c>
      <c r="V24" s="35">
        <v>141</v>
      </c>
      <c r="W24" s="31">
        <v>1</v>
      </c>
      <c r="X24" s="35">
        <v>174</v>
      </c>
      <c r="Y24" s="35">
        <v>174</v>
      </c>
      <c r="Z24" s="31">
        <v>1</v>
      </c>
      <c r="AA24" s="35">
        <v>135</v>
      </c>
      <c r="AB24" s="35">
        <v>135</v>
      </c>
      <c r="AC24" s="31">
        <v>1</v>
      </c>
      <c r="AD24" s="35">
        <v>153</v>
      </c>
      <c r="AE24" s="35">
        <v>153</v>
      </c>
      <c r="AF24" s="35">
        <v>15603</v>
      </c>
      <c r="AG24" s="31">
        <v>15.603</v>
      </c>
    </row>
    <row r="25" spans="1:33" ht="12.75">
      <c r="A25" s="31">
        <v>334</v>
      </c>
      <c r="B25" s="31"/>
      <c r="C25" s="35"/>
      <c r="D25" s="35"/>
      <c r="E25" s="31"/>
      <c r="F25" s="31"/>
      <c r="G25" s="35"/>
      <c r="H25" s="31">
        <v>10</v>
      </c>
      <c r="I25" s="35">
        <v>500</v>
      </c>
      <c r="J25" s="35">
        <v>5000</v>
      </c>
      <c r="K25" s="31"/>
      <c r="L25" s="35"/>
      <c r="M25" s="35"/>
      <c r="N25" s="31"/>
      <c r="O25" s="35"/>
      <c r="P25" s="35"/>
      <c r="Q25" s="31"/>
      <c r="R25" s="35"/>
      <c r="S25" s="35"/>
      <c r="T25" s="31">
        <v>1</v>
      </c>
      <c r="U25" s="35">
        <v>141</v>
      </c>
      <c r="V25" s="35">
        <v>141</v>
      </c>
      <c r="W25" s="31">
        <v>1</v>
      </c>
      <c r="X25" s="35">
        <v>174</v>
      </c>
      <c r="Y25" s="35">
        <v>174</v>
      </c>
      <c r="Z25" s="31">
        <v>1</v>
      </c>
      <c r="AA25" s="35">
        <v>135</v>
      </c>
      <c r="AB25" s="35">
        <v>135</v>
      </c>
      <c r="AC25" s="31">
        <v>1</v>
      </c>
      <c r="AD25" s="35">
        <v>153</v>
      </c>
      <c r="AE25" s="35">
        <v>153</v>
      </c>
      <c r="AF25" s="35">
        <v>5603</v>
      </c>
      <c r="AG25" s="31">
        <v>5.603</v>
      </c>
    </row>
    <row r="26" spans="1:33" ht="12.75">
      <c r="A26" s="31">
        <v>348</v>
      </c>
      <c r="B26" s="31"/>
      <c r="C26" s="35"/>
      <c r="D26" s="35"/>
      <c r="E26" s="31"/>
      <c r="F26" s="31"/>
      <c r="G26" s="35"/>
      <c r="H26" s="31">
        <v>10</v>
      </c>
      <c r="I26" s="35">
        <v>500</v>
      </c>
      <c r="J26" s="35">
        <v>5000</v>
      </c>
      <c r="K26" s="31"/>
      <c r="L26" s="35"/>
      <c r="M26" s="35"/>
      <c r="N26" s="31"/>
      <c r="O26" s="35"/>
      <c r="P26" s="35"/>
      <c r="Q26" s="31"/>
      <c r="R26" s="35"/>
      <c r="S26" s="35"/>
      <c r="T26" s="31">
        <v>1</v>
      </c>
      <c r="U26" s="35">
        <v>141</v>
      </c>
      <c r="V26" s="35">
        <v>141</v>
      </c>
      <c r="W26" s="31">
        <v>1</v>
      </c>
      <c r="X26" s="35">
        <v>174</v>
      </c>
      <c r="Y26" s="35">
        <v>174</v>
      </c>
      <c r="Z26" s="31">
        <v>1</v>
      </c>
      <c r="AA26" s="35">
        <v>135</v>
      </c>
      <c r="AB26" s="35">
        <v>135</v>
      </c>
      <c r="AC26" s="31">
        <v>1</v>
      </c>
      <c r="AD26" s="35">
        <v>153</v>
      </c>
      <c r="AE26" s="35">
        <v>153</v>
      </c>
      <c r="AF26" s="35">
        <v>5603</v>
      </c>
      <c r="AG26" s="31">
        <v>5.603</v>
      </c>
    </row>
    <row r="27" spans="1:33" ht="12.75">
      <c r="A27" s="31">
        <v>350</v>
      </c>
      <c r="B27" s="31"/>
      <c r="C27" s="35"/>
      <c r="D27" s="35"/>
      <c r="E27" s="31"/>
      <c r="F27" s="31"/>
      <c r="G27" s="35"/>
      <c r="H27" s="31"/>
      <c r="I27" s="35"/>
      <c r="J27" s="35"/>
      <c r="K27" s="31"/>
      <c r="L27" s="35"/>
      <c r="M27" s="35"/>
      <c r="N27" s="31"/>
      <c r="O27" s="35"/>
      <c r="P27" s="35"/>
      <c r="Q27" s="31"/>
      <c r="R27" s="35"/>
      <c r="S27" s="35"/>
      <c r="T27" s="31">
        <v>1</v>
      </c>
      <c r="U27" s="35">
        <v>141</v>
      </c>
      <c r="V27" s="35">
        <v>141</v>
      </c>
      <c r="W27" s="31">
        <v>1</v>
      </c>
      <c r="X27" s="35">
        <v>174</v>
      </c>
      <c r="Y27" s="35">
        <v>174</v>
      </c>
      <c r="Z27" s="31">
        <v>1</v>
      </c>
      <c r="AA27" s="35">
        <v>135</v>
      </c>
      <c r="AB27" s="35">
        <v>135</v>
      </c>
      <c r="AC27" s="31">
        <v>1</v>
      </c>
      <c r="AD27" s="35">
        <v>153</v>
      </c>
      <c r="AE27" s="35">
        <v>153</v>
      </c>
      <c r="AF27" s="35">
        <v>603</v>
      </c>
      <c r="AG27" s="31">
        <v>0.603</v>
      </c>
    </row>
    <row r="28" spans="1:33" ht="12.75">
      <c r="A28" s="31">
        <v>379</v>
      </c>
      <c r="B28" s="31"/>
      <c r="C28" s="35"/>
      <c r="D28" s="35"/>
      <c r="E28" s="31"/>
      <c r="F28" s="31"/>
      <c r="G28" s="35"/>
      <c r="H28" s="31"/>
      <c r="I28" s="35"/>
      <c r="J28" s="35"/>
      <c r="K28" s="31"/>
      <c r="L28" s="35"/>
      <c r="M28" s="35"/>
      <c r="N28" s="31"/>
      <c r="O28" s="35"/>
      <c r="P28" s="35"/>
      <c r="Q28" s="31"/>
      <c r="R28" s="35"/>
      <c r="S28" s="35"/>
      <c r="T28" s="31"/>
      <c r="U28" s="35"/>
      <c r="V28" s="35">
        <v>0</v>
      </c>
      <c r="W28" s="31"/>
      <c r="X28" s="35"/>
      <c r="Y28" s="35">
        <v>0</v>
      </c>
      <c r="Z28" s="31"/>
      <c r="AA28" s="35"/>
      <c r="AB28" s="35">
        <v>0</v>
      </c>
      <c r="AC28" s="31"/>
      <c r="AD28" s="35"/>
      <c r="AE28" s="35">
        <v>0</v>
      </c>
      <c r="AF28" s="35">
        <v>0</v>
      </c>
      <c r="AG28" s="31">
        <v>0</v>
      </c>
    </row>
    <row r="29" spans="1:33" ht="12.75">
      <c r="A29" s="31">
        <v>393</v>
      </c>
      <c r="B29" s="31">
        <v>40</v>
      </c>
      <c r="C29" s="35">
        <v>319.92</v>
      </c>
      <c r="D29" s="35">
        <v>12796.8</v>
      </c>
      <c r="E29" s="31"/>
      <c r="F29" s="31"/>
      <c r="G29" s="35"/>
      <c r="H29" s="31"/>
      <c r="I29" s="35"/>
      <c r="J29" s="35"/>
      <c r="K29" s="31"/>
      <c r="L29" s="35"/>
      <c r="M29" s="35"/>
      <c r="N29" s="31"/>
      <c r="O29" s="35"/>
      <c r="P29" s="35"/>
      <c r="Q29" s="31"/>
      <c r="R29" s="35"/>
      <c r="S29" s="35"/>
      <c r="T29" s="31">
        <v>1</v>
      </c>
      <c r="U29" s="35">
        <v>141</v>
      </c>
      <c r="V29" s="35">
        <v>141</v>
      </c>
      <c r="W29" s="31">
        <v>1</v>
      </c>
      <c r="X29" s="35">
        <v>174</v>
      </c>
      <c r="Y29" s="35">
        <v>174</v>
      </c>
      <c r="Z29" s="31">
        <v>1</v>
      </c>
      <c r="AA29" s="35">
        <v>135</v>
      </c>
      <c r="AB29" s="35">
        <v>135</v>
      </c>
      <c r="AC29" s="31">
        <v>1</v>
      </c>
      <c r="AD29" s="35">
        <v>153</v>
      </c>
      <c r="AE29" s="35">
        <v>153</v>
      </c>
      <c r="AF29" s="35">
        <v>13399.8</v>
      </c>
      <c r="AG29" s="31">
        <v>13.4</v>
      </c>
    </row>
    <row r="30" spans="1:33" ht="12.75">
      <c r="A30" s="31">
        <v>400</v>
      </c>
      <c r="B30" s="31"/>
      <c r="C30" s="35"/>
      <c r="D30" s="35"/>
      <c r="E30" s="31"/>
      <c r="F30" s="31"/>
      <c r="G30" s="35"/>
      <c r="H30" s="31"/>
      <c r="I30" s="35"/>
      <c r="J30" s="35"/>
      <c r="K30" s="31"/>
      <c r="L30" s="35"/>
      <c r="M30" s="35"/>
      <c r="N30" s="31"/>
      <c r="O30" s="35"/>
      <c r="P30" s="35"/>
      <c r="Q30" s="31"/>
      <c r="R30" s="35"/>
      <c r="S30" s="35"/>
      <c r="T30" s="31">
        <v>1</v>
      </c>
      <c r="U30" s="35">
        <v>141</v>
      </c>
      <c r="V30" s="35">
        <v>141</v>
      </c>
      <c r="W30" s="31">
        <v>1</v>
      </c>
      <c r="X30" s="35">
        <v>174</v>
      </c>
      <c r="Y30" s="35">
        <v>174</v>
      </c>
      <c r="Z30" s="31">
        <v>1</v>
      </c>
      <c r="AA30" s="35">
        <v>135</v>
      </c>
      <c r="AB30" s="35">
        <v>135</v>
      </c>
      <c r="AC30" s="31">
        <v>1</v>
      </c>
      <c r="AD30" s="35">
        <v>153</v>
      </c>
      <c r="AE30" s="35">
        <v>153</v>
      </c>
      <c r="AF30" s="35">
        <v>603</v>
      </c>
      <c r="AG30" s="31">
        <v>0.603</v>
      </c>
    </row>
    <row r="31" spans="1:33" ht="12.75">
      <c r="A31" s="31">
        <v>401</v>
      </c>
      <c r="B31" s="31"/>
      <c r="C31" s="35"/>
      <c r="D31" s="35"/>
      <c r="E31" s="31"/>
      <c r="F31" s="31"/>
      <c r="G31" s="35"/>
      <c r="H31" s="31"/>
      <c r="I31" s="35"/>
      <c r="J31" s="35"/>
      <c r="K31" s="31"/>
      <c r="L31" s="35"/>
      <c r="M31" s="35"/>
      <c r="N31" s="31"/>
      <c r="O31" s="35"/>
      <c r="P31" s="35"/>
      <c r="Q31" s="31"/>
      <c r="R31" s="35"/>
      <c r="S31" s="35"/>
      <c r="T31" s="31">
        <v>1</v>
      </c>
      <c r="U31" s="35">
        <v>141</v>
      </c>
      <c r="V31" s="35">
        <v>141</v>
      </c>
      <c r="W31" s="31">
        <v>1</v>
      </c>
      <c r="X31" s="35">
        <v>174</v>
      </c>
      <c r="Y31" s="35">
        <v>174</v>
      </c>
      <c r="Z31" s="31">
        <v>1</v>
      </c>
      <c r="AA31" s="35">
        <v>135</v>
      </c>
      <c r="AB31" s="35">
        <v>135</v>
      </c>
      <c r="AC31" s="31">
        <v>1</v>
      </c>
      <c r="AD31" s="35">
        <v>153</v>
      </c>
      <c r="AE31" s="35">
        <v>153</v>
      </c>
      <c r="AF31" s="35">
        <v>603</v>
      </c>
      <c r="AG31" s="31">
        <v>0.603</v>
      </c>
    </row>
    <row r="32" spans="1:33" ht="12.75">
      <c r="A32" s="31">
        <v>402</v>
      </c>
      <c r="B32" s="31"/>
      <c r="C32" s="35"/>
      <c r="D32" s="35"/>
      <c r="E32" s="31"/>
      <c r="F32" s="31"/>
      <c r="G32" s="35"/>
      <c r="H32" s="31"/>
      <c r="I32" s="35"/>
      <c r="J32" s="35"/>
      <c r="K32" s="31"/>
      <c r="L32" s="35"/>
      <c r="M32" s="35"/>
      <c r="N32" s="31"/>
      <c r="O32" s="35"/>
      <c r="P32" s="35"/>
      <c r="Q32" s="31"/>
      <c r="R32" s="35"/>
      <c r="S32" s="35"/>
      <c r="T32" s="31">
        <v>1</v>
      </c>
      <c r="U32" s="35">
        <v>141</v>
      </c>
      <c r="V32" s="35">
        <v>141</v>
      </c>
      <c r="W32" s="31">
        <v>1</v>
      </c>
      <c r="X32" s="35">
        <v>174</v>
      </c>
      <c r="Y32" s="35">
        <v>174</v>
      </c>
      <c r="Z32" s="31">
        <v>1</v>
      </c>
      <c r="AA32" s="35">
        <v>135</v>
      </c>
      <c r="AB32" s="35">
        <v>135</v>
      </c>
      <c r="AC32" s="31">
        <v>1</v>
      </c>
      <c r="AD32" s="35">
        <v>153</v>
      </c>
      <c r="AE32" s="35">
        <v>153</v>
      </c>
      <c r="AF32" s="35">
        <v>603</v>
      </c>
      <c r="AG32" s="31">
        <v>0.603</v>
      </c>
    </row>
    <row r="33" spans="1:33" ht="12.75">
      <c r="A33" s="31" t="s">
        <v>48</v>
      </c>
      <c r="B33" s="31">
        <v>100</v>
      </c>
      <c r="C33" s="35"/>
      <c r="D33" s="35">
        <v>31992</v>
      </c>
      <c r="E33" s="31">
        <v>40</v>
      </c>
      <c r="F33" s="31"/>
      <c r="G33" s="35">
        <v>48700.8</v>
      </c>
      <c r="H33" s="31">
        <v>50</v>
      </c>
      <c r="I33" s="35"/>
      <c r="J33" s="35">
        <v>25000</v>
      </c>
      <c r="K33" s="31">
        <v>20</v>
      </c>
      <c r="L33" s="35"/>
      <c r="M33" s="35">
        <v>4000</v>
      </c>
      <c r="N33" s="31">
        <v>4</v>
      </c>
      <c r="O33" s="35"/>
      <c r="P33" s="35">
        <v>6000</v>
      </c>
      <c r="Q33" s="31">
        <v>5</v>
      </c>
      <c r="R33" s="35"/>
      <c r="S33" s="35">
        <v>9000</v>
      </c>
      <c r="T33" s="31"/>
      <c r="U33" s="35"/>
      <c r="V33" s="35">
        <v>3243</v>
      </c>
      <c r="W33" s="31"/>
      <c r="X33" s="35"/>
      <c r="Y33" s="35">
        <v>4002</v>
      </c>
      <c r="Z33" s="31"/>
      <c r="AA33" s="35"/>
      <c r="AB33" s="35">
        <v>3105</v>
      </c>
      <c r="AC33" s="31"/>
      <c r="AD33" s="35"/>
      <c r="AE33" s="35">
        <v>3519</v>
      </c>
      <c r="AF33" s="35">
        <v>138561.8</v>
      </c>
      <c r="AG33" s="31">
        <v>138.562</v>
      </c>
    </row>
    <row r="39" ht="12.75">
      <c r="A39" t="s">
        <v>65</v>
      </c>
    </row>
  </sheetData>
  <mergeCells count="12">
    <mergeCell ref="N6:P6"/>
    <mergeCell ref="Q6:S6"/>
    <mergeCell ref="Z6:AB6"/>
    <mergeCell ref="AC6:AE6"/>
    <mergeCell ref="B6:D6"/>
    <mergeCell ref="E6:G6"/>
    <mergeCell ref="H6:J6"/>
    <mergeCell ref="K6:M6"/>
    <mergeCell ref="A1:M1"/>
    <mergeCell ref="B5:S5"/>
    <mergeCell ref="T5:AE5"/>
    <mergeCell ref="AF5:A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L24" sqref="L24"/>
    </sheetView>
  </sheetViews>
  <sheetFormatPr defaultColWidth="9.00390625" defaultRowHeight="12.75"/>
  <cols>
    <col min="1" max="3" width="9.125" style="38" customWidth="1"/>
    <col min="4" max="4" width="12.125" style="38" customWidth="1"/>
    <col min="5" max="5" width="6.75390625" style="38" customWidth="1"/>
    <col min="6" max="7" width="9.125" style="38" customWidth="1"/>
    <col min="8" max="8" width="7.125" style="38" customWidth="1"/>
    <col min="9" max="10" width="9.125" style="38" customWidth="1"/>
    <col min="11" max="11" width="5.625" style="38" customWidth="1"/>
    <col min="12" max="16384" width="9.125" style="38" customWidth="1"/>
  </cols>
  <sheetData>
    <row r="1" spans="1:15" ht="12.7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4" spans="2:6" ht="12.75">
      <c r="B4" s="38" t="s">
        <v>67</v>
      </c>
      <c r="F4" s="38" t="s">
        <v>44</v>
      </c>
    </row>
    <row r="7" spans="1:15" ht="12.75">
      <c r="A7" s="39" t="s">
        <v>68</v>
      </c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39" t="s">
        <v>69</v>
      </c>
      <c r="O7" s="39"/>
    </row>
    <row r="8" spans="1:15" ht="38.25" customHeight="1">
      <c r="A8" s="39"/>
      <c r="B8" s="43" t="s">
        <v>70</v>
      </c>
      <c r="C8" s="44"/>
      <c r="D8" s="45"/>
      <c r="E8" s="40" t="s">
        <v>71</v>
      </c>
      <c r="F8" s="41"/>
      <c r="G8" s="42"/>
      <c r="H8" s="40" t="s">
        <v>72</v>
      </c>
      <c r="I8" s="41"/>
      <c r="J8" s="42"/>
      <c r="K8" s="40" t="s">
        <v>73</v>
      </c>
      <c r="L8" s="41"/>
      <c r="M8" s="42"/>
      <c r="N8" s="39"/>
      <c r="O8" s="39"/>
    </row>
    <row r="9" spans="1:15" ht="12.75">
      <c r="A9" s="39"/>
      <c r="B9" s="39" t="s">
        <v>74</v>
      </c>
      <c r="C9" s="39" t="s">
        <v>75</v>
      </c>
      <c r="D9" s="39" t="s">
        <v>61</v>
      </c>
      <c r="E9" s="39" t="s">
        <v>74</v>
      </c>
      <c r="F9" s="39" t="s">
        <v>75</v>
      </c>
      <c r="G9" s="39" t="s">
        <v>61</v>
      </c>
      <c r="H9" s="39" t="s">
        <v>74</v>
      </c>
      <c r="I9" s="39" t="s">
        <v>75</v>
      </c>
      <c r="J9" s="39" t="s">
        <v>61</v>
      </c>
      <c r="K9" s="39" t="s">
        <v>74</v>
      </c>
      <c r="L9" s="39" t="s">
        <v>75</v>
      </c>
      <c r="M9" s="39" t="s">
        <v>61</v>
      </c>
      <c r="N9" s="39" t="s">
        <v>62</v>
      </c>
      <c r="O9" s="39" t="s">
        <v>63</v>
      </c>
    </row>
    <row r="10" spans="1:15" ht="12.75">
      <c r="A10" s="39" t="s">
        <v>76</v>
      </c>
      <c r="B10" s="39"/>
      <c r="C10" s="39"/>
      <c r="D10" s="39"/>
      <c r="E10" s="39">
        <v>3</v>
      </c>
      <c r="F10" s="39">
        <v>417.24</v>
      </c>
      <c r="G10" s="39">
        <v>1251.72</v>
      </c>
      <c r="H10" s="39">
        <v>2</v>
      </c>
      <c r="I10" s="39">
        <v>290.97</v>
      </c>
      <c r="J10" s="39">
        <v>581.94</v>
      </c>
      <c r="K10" s="39">
        <v>2</v>
      </c>
      <c r="L10" s="39">
        <v>4.39</v>
      </c>
      <c r="M10" s="39">
        <v>8.78</v>
      </c>
      <c r="N10" s="39">
        <v>1842.44</v>
      </c>
      <c r="O10" s="39">
        <v>1.842</v>
      </c>
    </row>
    <row r="11" spans="1:15" ht="12.75">
      <c r="A11" s="39">
        <v>18</v>
      </c>
      <c r="B11" s="39"/>
      <c r="C11" s="39"/>
      <c r="D11" s="39"/>
      <c r="E11" s="39">
        <v>2</v>
      </c>
      <c r="F11" s="39">
        <v>417.24</v>
      </c>
      <c r="G11" s="39">
        <v>834.48</v>
      </c>
      <c r="H11" s="39">
        <v>2</v>
      </c>
      <c r="I11" s="39">
        <v>290.97</v>
      </c>
      <c r="J11" s="39">
        <v>581.94</v>
      </c>
      <c r="K11" s="39">
        <v>5</v>
      </c>
      <c r="L11" s="39">
        <v>4.39</v>
      </c>
      <c r="M11" s="39">
        <v>21.95</v>
      </c>
      <c r="N11" s="39">
        <v>1438.37</v>
      </c>
      <c r="O11" s="39">
        <v>1.438</v>
      </c>
    </row>
    <row r="12" spans="1:15" ht="12.75">
      <c r="A12" s="39">
        <v>26</v>
      </c>
      <c r="B12" s="39"/>
      <c r="C12" s="39"/>
      <c r="D12" s="39"/>
      <c r="E12" s="39">
        <v>4</v>
      </c>
      <c r="F12" s="39">
        <v>417.24</v>
      </c>
      <c r="G12" s="39">
        <v>1668.96</v>
      </c>
      <c r="H12" s="39">
        <v>4</v>
      </c>
      <c r="I12" s="39">
        <v>290.97</v>
      </c>
      <c r="J12" s="39">
        <v>1163.88</v>
      </c>
      <c r="K12" s="39">
        <v>5</v>
      </c>
      <c r="L12" s="39">
        <v>4.39</v>
      </c>
      <c r="M12" s="39">
        <v>21.95</v>
      </c>
      <c r="N12" s="39">
        <v>2854.79</v>
      </c>
      <c r="O12" s="39">
        <v>2.855</v>
      </c>
    </row>
    <row r="13" spans="1:15" ht="12.75">
      <c r="A13" s="39">
        <v>42</v>
      </c>
      <c r="B13" s="39"/>
      <c r="C13" s="39"/>
      <c r="D13" s="39"/>
      <c r="E13" s="39">
        <v>4</v>
      </c>
      <c r="F13" s="39">
        <v>417.24</v>
      </c>
      <c r="G13" s="39">
        <v>1668.96</v>
      </c>
      <c r="H13" s="39">
        <v>4</v>
      </c>
      <c r="I13" s="39">
        <v>290.97</v>
      </c>
      <c r="J13" s="39">
        <v>1163.88</v>
      </c>
      <c r="K13" s="39">
        <v>5</v>
      </c>
      <c r="L13" s="39">
        <v>4.39</v>
      </c>
      <c r="M13" s="39">
        <v>21.95</v>
      </c>
      <c r="N13" s="39">
        <v>2854.79</v>
      </c>
      <c r="O13" s="39">
        <v>2.855</v>
      </c>
    </row>
    <row r="14" spans="1:15" ht="12.75">
      <c r="A14" s="39">
        <v>43</v>
      </c>
      <c r="B14" s="39">
        <v>1</v>
      </c>
      <c r="C14" s="46">
        <v>272</v>
      </c>
      <c r="D14" s="46">
        <v>272</v>
      </c>
      <c r="E14" s="39">
        <v>2</v>
      </c>
      <c r="F14" s="39">
        <v>417.24</v>
      </c>
      <c r="G14" s="39">
        <v>834.48</v>
      </c>
      <c r="H14" s="39">
        <v>2</v>
      </c>
      <c r="I14" s="39">
        <v>290.97</v>
      </c>
      <c r="J14" s="39">
        <v>581.94</v>
      </c>
      <c r="K14" s="39">
        <v>5</v>
      </c>
      <c r="L14" s="39">
        <v>4.39</v>
      </c>
      <c r="M14" s="39">
        <v>21.95</v>
      </c>
      <c r="N14" s="39">
        <v>1710.37</v>
      </c>
      <c r="O14" s="39">
        <v>1.71</v>
      </c>
    </row>
    <row r="15" spans="1:15" ht="12.75">
      <c r="A15" s="39">
        <v>44</v>
      </c>
      <c r="B15" s="39"/>
      <c r="C15" s="39"/>
      <c r="D15" s="39"/>
      <c r="E15" s="39">
        <v>9</v>
      </c>
      <c r="F15" s="39">
        <v>417.24</v>
      </c>
      <c r="G15" s="39">
        <v>3755.16</v>
      </c>
      <c r="H15" s="39">
        <v>9</v>
      </c>
      <c r="I15" s="39">
        <v>290.97</v>
      </c>
      <c r="J15" s="39">
        <v>2618.73</v>
      </c>
      <c r="K15" s="39">
        <v>5</v>
      </c>
      <c r="L15" s="39">
        <v>4.39</v>
      </c>
      <c r="M15" s="39">
        <v>21.95</v>
      </c>
      <c r="N15" s="39">
        <v>6395.84</v>
      </c>
      <c r="O15" s="39">
        <v>6.396</v>
      </c>
    </row>
    <row r="16" spans="1:15" ht="12.75">
      <c r="A16" s="39">
        <v>55</v>
      </c>
      <c r="B16" s="39"/>
      <c r="C16" s="39"/>
      <c r="D16" s="39"/>
      <c r="E16" s="39">
        <v>3</v>
      </c>
      <c r="F16" s="39">
        <v>417.24</v>
      </c>
      <c r="G16" s="39">
        <v>1251.72</v>
      </c>
      <c r="H16" s="39">
        <v>2</v>
      </c>
      <c r="I16" s="39">
        <v>290.97</v>
      </c>
      <c r="J16" s="39">
        <v>581.94</v>
      </c>
      <c r="K16" s="39">
        <v>5</v>
      </c>
      <c r="L16" s="39">
        <v>4.39</v>
      </c>
      <c r="M16" s="39">
        <v>21.95</v>
      </c>
      <c r="N16" s="39">
        <v>1855.61</v>
      </c>
      <c r="O16" s="39">
        <v>1.856</v>
      </c>
    </row>
    <row r="17" spans="1:15" ht="12.75">
      <c r="A17" s="39">
        <v>56</v>
      </c>
      <c r="B17" s="39"/>
      <c r="C17" s="39"/>
      <c r="D17" s="39"/>
      <c r="E17" s="39">
        <v>14</v>
      </c>
      <c r="F17" s="39">
        <v>417.24</v>
      </c>
      <c r="G17" s="39">
        <v>5841.36</v>
      </c>
      <c r="H17" s="39">
        <v>11</v>
      </c>
      <c r="I17" s="39">
        <v>290.97</v>
      </c>
      <c r="J17" s="39">
        <v>3200.67</v>
      </c>
      <c r="K17" s="39">
        <v>5</v>
      </c>
      <c r="L17" s="39">
        <v>4.39</v>
      </c>
      <c r="M17" s="39">
        <v>21.95</v>
      </c>
      <c r="N17" s="39">
        <v>9063.98</v>
      </c>
      <c r="O17" s="39">
        <v>9.064</v>
      </c>
    </row>
    <row r="18" spans="1:15" ht="12.75">
      <c r="A18" s="39">
        <v>57</v>
      </c>
      <c r="B18" s="39"/>
      <c r="C18" s="39"/>
      <c r="D18" s="39"/>
      <c r="E18" s="39">
        <v>5</v>
      </c>
      <c r="F18" s="39">
        <v>417.24</v>
      </c>
      <c r="G18" s="39">
        <v>2086.2</v>
      </c>
      <c r="H18" s="39">
        <v>6</v>
      </c>
      <c r="I18" s="39">
        <v>290.97</v>
      </c>
      <c r="J18" s="39">
        <v>1745.82</v>
      </c>
      <c r="K18" s="39">
        <v>5</v>
      </c>
      <c r="L18" s="39">
        <v>4.39</v>
      </c>
      <c r="M18" s="39">
        <v>21.95</v>
      </c>
      <c r="N18" s="39">
        <v>3853.97</v>
      </c>
      <c r="O18" s="39">
        <v>3.854</v>
      </c>
    </row>
    <row r="19" spans="1:15" ht="12.75">
      <c r="A19" s="39">
        <v>64</v>
      </c>
      <c r="B19" s="39"/>
      <c r="C19" s="39"/>
      <c r="D19" s="39"/>
      <c r="E19" s="39">
        <v>20</v>
      </c>
      <c r="F19" s="39">
        <v>417.24</v>
      </c>
      <c r="G19" s="39">
        <v>8344.8</v>
      </c>
      <c r="H19" s="39">
        <v>20</v>
      </c>
      <c r="I19" s="39">
        <v>290.97</v>
      </c>
      <c r="J19" s="39">
        <v>5819.4</v>
      </c>
      <c r="K19" s="39">
        <v>5</v>
      </c>
      <c r="L19" s="39">
        <v>4.39</v>
      </c>
      <c r="M19" s="39">
        <v>21.95</v>
      </c>
      <c r="N19" s="39">
        <v>14186.15</v>
      </c>
      <c r="O19" s="39">
        <v>14.186</v>
      </c>
    </row>
    <row r="20" spans="1:15" ht="12.75">
      <c r="A20" s="39">
        <v>68</v>
      </c>
      <c r="B20" s="39"/>
      <c r="C20" s="39"/>
      <c r="D20" s="39">
        <v>0</v>
      </c>
      <c r="E20" s="39">
        <v>1</v>
      </c>
      <c r="F20" s="39">
        <v>417.24</v>
      </c>
      <c r="G20" s="39">
        <v>417.24</v>
      </c>
      <c r="H20" s="39">
        <v>1</v>
      </c>
      <c r="I20" s="39">
        <v>290.97</v>
      </c>
      <c r="J20" s="39">
        <v>290.97</v>
      </c>
      <c r="K20" s="39">
        <v>5</v>
      </c>
      <c r="L20" s="39">
        <v>4.39</v>
      </c>
      <c r="M20" s="39">
        <v>21.95</v>
      </c>
      <c r="N20" s="39">
        <v>730.16</v>
      </c>
      <c r="O20" s="39">
        <v>0.73</v>
      </c>
    </row>
    <row r="21" spans="1:15" ht="12.75">
      <c r="A21" s="39">
        <v>86</v>
      </c>
      <c r="B21" s="39"/>
      <c r="C21" s="39"/>
      <c r="D21" s="39"/>
      <c r="E21" s="39">
        <v>5</v>
      </c>
      <c r="F21" s="39">
        <v>417.24</v>
      </c>
      <c r="G21" s="39">
        <v>2086.2</v>
      </c>
      <c r="H21" s="39">
        <v>5</v>
      </c>
      <c r="I21" s="39">
        <v>290.97</v>
      </c>
      <c r="J21" s="39">
        <v>1454.85</v>
      </c>
      <c r="K21" s="39">
        <v>5</v>
      </c>
      <c r="L21" s="39">
        <v>4.39</v>
      </c>
      <c r="M21" s="39">
        <v>21.95</v>
      </c>
      <c r="N21" s="39">
        <v>3563</v>
      </c>
      <c r="O21" s="39">
        <v>3.563</v>
      </c>
    </row>
    <row r="22" spans="1:15" ht="12.75">
      <c r="A22" s="39">
        <v>114</v>
      </c>
      <c r="B22" s="39"/>
      <c r="C22" s="39"/>
      <c r="D22" s="39"/>
      <c r="E22" s="39">
        <v>10</v>
      </c>
      <c r="F22" s="39">
        <v>417.24</v>
      </c>
      <c r="G22" s="39">
        <v>4172.4</v>
      </c>
      <c r="H22" s="39">
        <v>10</v>
      </c>
      <c r="I22" s="39">
        <v>290.97</v>
      </c>
      <c r="J22" s="39">
        <v>2909.7</v>
      </c>
      <c r="K22" s="39">
        <v>5</v>
      </c>
      <c r="L22" s="39">
        <v>4.39</v>
      </c>
      <c r="M22" s="39">
        <v>21.95</v>
      </c>
      <c r="N22" s="39">
        <v>7104.05</v>
      </c>
      <c r="O22" s="39">
        <v>7.104</v>
      </c>
    </row>
    <row r="23" spans="1:15" ht="12.75">
      <c r="A23" s="39">
        <v>115</v>
      </c>
      <c r="B23" s="39"/>
      <c r="C23" s="39"/>
      <c r="D23" s="39"/>
      <c r="E23" s="39">
        <v>8</v>
      </c>
      <c r="F23" s="39">
        <v>417.24</v>
      </c>
      <c r="G23" s="39">
        <v>3337.92</v>
      </c>
      <c r="H23" s="39">
        <v>6</v>
      </c>
      <c r="I23" s="39">
        <v>290.97</v>
      </c>
      <c r="J23" s="39">
        <v>1745.82</v>
      </c>
      <c r="K23" s="39">
        <v>5</v>
      </c>
      <c r="L23" s="39">
        <v>4.39</v>
      </c>
      <c r="M23" s="39">
        <v>21.95</v>
      </c>
      <c r="N23" s="39">
        <v>5105.69</v>
      </c>
      <c r="O23" s="39">
        <v>5.106</v>
      </c>
    </row>
    <row r="24" spans="1:15" ht="12.75">
      <c r="A24" s="39">
        <v>116</v>
      </c>
      <c r="B24" s="39"/>
      <c r="C24" s="39"/>
      <c r="D24" s="39"/>
      <c r="E24" s="39">
        <v>3</v>
      </c>
      <c r="F24" s="39">
        <v>417.24</v>
      </c>
      <c r="G24" s="39">
        <v>1251.72</v>
      </c>
      <c r="H24" s="39">
        <v>4</v>
      </c>
      <c r="I24" s="39">
        <v>290.97</v>
      </c>
      <c r="J24" s="39">
        <v>1163.88</v>
      </c>
      <c r="K24" s="39">
        <v>5</v>
      </c>
      <c r="L24" s="39">
        <v>4.39</v>
      </c>
      <c r="M24" s="39">
        <v>21.95</v>
      </c>
      <c r="N24" s="39">
        <v>2437.55</v>
      </c>
      <c r="O24" s="39">
        <v>2.438</v>
      </c>
    </row>
    <row r="25" spans="1:15" ht="12.75">
      <c r="A25" s="39">
        <v>117</v>
      </c>
      <c r="B25" s="39"/>
      <c r="C25" s="39"/>
      <c r="D25" s="39">
        <v>0</v>
      </c>
      <c r="E25" s="39"/>
      <c r="F25" s="39"/>
      <c r="G25" s="39"/>
      <c r="H25" s="39"/>
      <c r="I25" s="39"/>
      <c r="J25" s="39"/>
      <c r="K25" s="39">
        <v>5</v>
      </c>
      <c r="L25" s="39">
        <v>4.39</v>
      </c>
      <c r="M25" s="39">
        <v>21.95</v>
      </c>
      <c r="N25" s="39">
        <v>21.95</v>
      </c>
      <c r="O25" s="39">
        <v>0.022</v>
      </c>
    </row>
    <row r="26" spans="1:15" ht="12.75">
      <c r="A26" s="39">
        <v>131</v>
      </c>
      <c r="B26" s="39"/>
      <c r="C26" s="39"/>
      <c r="D26" s="39"/>
      <c r="E26" s="39">
        <v>2</v>
      </c>
      <c r="F26" s="39">
        <v>417.24</v>
      </c>
      <c r="G26" s="39">
        <v>834.48</v>
      </c>
      <c r="H26" s="39">
        <v>2</v>
      </c>
      <c r="I26" s="39">
        <v>290.97</v>
      </c>
      <c r="J26" s="39">
        <v>581.94</v>
      </c>
      <c r="K26" s="39">
        <v>5</v>
      </c>
      <c r="L26" s="39">
        <v>4.39</v>
      </c>
      <c r="M26" s="39">
        <v>21.95</v>
      </c>
      <c r="N26" s="39">
        <v>1438.37</v>
      </c>
      <c r="O26" s="39">
        <v>1.438</v>
      </c>
    </row>
    <row r="27" spans="1:15" ht="12.75">
      <c r="A27" s="39">
        <v>133</v>
      </c>
      <c r="B27" s="39"/>
      <c r="C27" s="39"/>
      <c r="D27" s="39"/>
      <c r="E27" s="39">
        <v>8</v>
      </c>
      <c r="F27" s="39">
        <v>417.24</v>
      </c>
      <c r="G27" s="39">
        <v>3337.92</v>
      </c>
      <c r="H27" s="39">
        <v>8</v>
      </c>
      <c r="I27" s="39">
        <v>290.97</v>
      </c>
      <c r="J27" s="39">
        <v>2327.76</v>
      </c>
      <c r="K27" s="39">
        <v>5</v>
      </c>
      <c r="L27" s="39">
        <v>4.39</v>
      </c>
      <c r="M27" s="39">
        <v>21.95</v>
      </c>
      <c r="N27" s="39">
        <v>5687.63</v>
      </c>
      <c r="O27" s="39">
        <v>5.688</v>
      </c>
    </row>
    <row r="28" spans="1:15" ht="12.75">
      <c r="A28" s="39">
        <v>134</v>
      </c>
      <c r="B28" s="39"/>
      <c r="C28" s="39"/>
      <c r="D28" s="39"/>
      <c r="E28" s="39">
        <v>5</v>
      </c>
      <c r="F28" s="39">
        <v>417.24</v>
      </c>
      <c r="G28" s="39">
        <v>2086.2</v>
      </c>
      <c r="H28" s="39">
        <v>5</v>
      </c>
      <c r="I28" s="39">
        <v>290.97</v>
      </c>
      <c r="J28" s="39">
        <v>1454.85</v>
      </c>
      <c r="K28" s="39">
        <v>5</v>
      </c>
      <c r="L28" s="39">
        <v>4.39</v>
      </c>
      <c r="M28" s="39">
        <v>21.95</v>
      </c>
      <c r="N28" s="39">
        <v>3563</v>
      </c>
      <c r="O28" s="39">
        <v>3.563</v>
      </c>
    </row>
    <row r="29" spans="1:15" ht="12.75">
      <c r="A29" s="39">
        <v>142</v>
      </c>
      <c r="B29" s="39"/>
      <c r="C29" s="39"/>
      <c r="D29" s="39"/>
      <c r="E29" s="39">
        <v>4</v>
      </c>
      <c r="F29" s="39">
        <v>417.24</v>
      </c>
      <c r="G29" s="39">
        <v>1668.96</v>
      </c>
      <c r="H29" s="39">
        <v>4</v>
      </c>
      <c r="I29" s="39">
        <v>290.97</v>
      </c>
      <c r="J29" s="39">
        <v>1163.88</v>
      </c>
      <c r="K29" s="39">
        <v>5</v>
      </c>
      <c r="L29" s="39">
        <v>4.39</v>
      </c>
      <c r="M29" s="39">
        <v>21.95</v>
      </c>
      <c r="N29" s="39">
        <v>2854.79</v>
      </c>
      <c r="O29" s="39">
        <v>2.855</v>
      </c>
    </row>
    <row r="30" spans="1:15" ht="12.75">
      <c r="A30" s="39" t="s">
        <v>77</v>
      </c>
      <c r="B30" s="39"/>
      <c r="C30" s="39"/>
      <c r="D30" s="39"/>
      <c r="E30" s="39"/>
      <c r="F30" s="39"/>
      <c r="G30" s="39"/>
      <c r="H30" s="39"/>
      <c r="I30" s="39"/>
      <c r="J30" s="39"/>
      <c r="K30" s="39">
        <v>3</v>
      </c>
      <c r="L30" s="39">
        <v>4.39</v>
      </c>
      <c r="M30" s="39">
        <v>13.17</v>
      </c>
      <c r="N30" s="39">
        <v>13.17</v>
      </c>
      <c r="O30" s="39">
        <v>0.013</v>
      </c>
    </row>
    <row r="31" spans="1:15" ht="12.75">
      <c r="A31" s="39" t="s">
        <v>48</v>
      </c>
      <c r="B31" s="39">
        <v>1</v>
      </c>
      <c r="C31" s="39"/>
      <c r="D31" s="46">
        <v>272</v>
      </c>
      <c r="E31" s="39">
        <v>112</v>
      </c>
      <c r="F31" s="39"/>
      <c r="G31" s="39">
        <v>46730.88</v>
      </c>
      <c r="H31" s="39">
        <v>107</v>
      </c>
      <c r="I31" s="39"/>
      <c r="J31" s="39">
        <v>31133.79</v>
      </c>
      <c r="K31" s="39">
        <v>100</v>
      </c>
      <c r="L31" s="39"/>
      <c r="M31" s="39">
        <v>439</v>
      </c>
      <c r="N31" s="39">
        <v>78575.67</v>
      </c>
      <c r="O31" s="39">
        <v>78.57600000000002</v>
      </c>
    </row>
    <row r="37" ht="12.75">
      <c r="A37" s="38" t="s">
        <v>65</v>
      </c>
    </row>
  </sheetData>
  <mergeCells count="6">
    <mergeCell ref="A1:O1"/>
    <mergeCell ref="B7:M7"/>
    <mergeCell ref="B8:D8"/>
    <mergeCell ref="E8:G8"/>
    <mergeCell ref="H8:J8"/>
    <mergeCell ref="K8:M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N27" sqref="N27"/>
    </sheetView>
  </sheetViews>
  <sheetFormatPr defaultColWidth="9.125" defaultRowHeight="12.75"/>
  <cols>
    <col min="1" max="2" width="9.125" style="38" customWidth="1"/>
    <col min="3" max="3" width="10.375" style="38" customWidth="1"/>
    <col min="4" max="4" width="6.625" style="38" customWidth="1"/>
    <col min="5" max="5" width="9.125" style="38" customWidth="1"/>
    <col min="6" max="6" width="10.25390625" style="38" customWidth="1"/>
    <col min="7" max="7" width="6.875" style="38" customWidth="1"/>
    <col min="8" max="9" width="9.125" style="38" customWidth="1"/>
    <col min="10" max="10" width="15.75390625" style="38" customWidth="1"/>
    <col min="11" max="11" width="5.75390625" style="38" customWidth="1"/>
    <col min="12" max="12" width="7.25390625" style="38" customWidth="1"/>
    <col min="13" max="13" width="9.125" style="38" customWidth="1"/>
    <col min="14" max="14" width="15.875" style="38" customWidth="1"/>
    <col min="15" max="15" width="9.125" style="38" customWidth="1"/>
    <col min="16" max="16" width="6.125" style="38" customWidth="1"/>
    <col min="17" max="17" width="5.00390625" style="38" customWidth="1"/>
    <col min="18" max="16384" width="9.125" style="38" customWidth="1"/>
  </cols>
  <sheetData>
    <row r="1" spans="1:9" ht="12.75">
      <c r="A1" s="37" t="s">
        <v>78</v>
      </c>
      <c r="B1" s="37"/>
      <c r="C1" s="37"/>
      <c r="D1" s="37"/>
      <c r="E1" s="37"/>
      <c r="F1" s="37"/>
      <c r="G1" s="37"/>
      <c r="H1" s="37"/>
      <c r="I1" s="37"/>
    </row>
    <row r="4" spans="2:4" ht="12.75">
      <c r="B4" s="38" t="s">
        <v>79</v>
      </c>
      <c r="D4" s="38" t="s">
        <v>80</v>
      </c>
    </row>
    <row r="7" spans="1:19" ht="12.75">
      <c r="A7" s="39"/>
      <c r="B7" s="40" t="s">
        <v>81</v>
      </c>
      <c r="C7" s="41"/>
      <c r="D7" s="41"/>
      <c r="E7" s="41"/>
      <c r="F7" s="41"/>
      <c r="G7" s="41"/>
      <c r="H7" s="41"/>
      <c r="I7" s="42"/>
      <c r="J7" s="39" t="s">
        <v>82</v>
      </c>
      <c r="K7" s="39"/>
      <c r="L7" s="39"/>
      <c r="M7" s="39"/>
      <c r="N7" s="39" t="s">
        <v>46</v>
      </c>
      <c r="O7" s="39"/>
      <c r="P7" s="39"/>
      <c r="Q7" s="39"/>
      <c r="R7" s="39"/>
      <c r="S7" s="39" t="s">
        <v>48</v>
      </c>
    </row>
    <row r="8" spans="1:19" ht="12.75">
      <c r="A8" s="39"/>
      <c r="B8" s="47" t="s">
        <v>83</v>
      </c>
      <c r="C8" s="40" t="s">
        <v>84</v>
      </c>
      <c r="D8" s="41"/>
      <c r="E8" s="42"/>
      <c r="F8" s="40" t="s">
        <v>85</v>
      </c>
      <c r="G8" s="41"/>
      <c r="H8" s="42"/>
      <c r="I8" s="39" t="s">
        <v>86</v>
      </c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2.75">
      <c r="A9" s="39"/>
      <c r="B9" s="39"/>
      <c r="C9" s="39" t="s">
        <v>87</v>
      </c>
      <c r="D9" s="39" t="s">
        <v>75</v>
      </c>
      <c r="E9" s="39" t="s">
        <v>61</v>
      </c>
      <c r="F9" s="39" t="s">
        <v>87</v>
      </c>
      <c r="G9" s="39" t="s">
        <v>75</v>
      </c>
      <c r="H9" s="39" t="s">
        <v>61</v>
      </c>
      <c r="I9" s="39"/>
      <c r="J9" s="39"/>
      <c r="K9" s="39" t="s">
        <v>59</v>
      </c>
      <c r="L9" s="39" t="s">
        <v>75</v>
      </c>
      <c r="M9" s="39" t="s">
        <v>61</v>
      </c>
      <c r="N9" s="39"/>
      <c r="O9" s="39" t="s">
        <v>88</v>
      </c>
      <c r="P9" s="39" t="s">
        <v>59</v>
      </c>
      <c r="Q9" s="39" t="s">
        <v>75</v>
      </c>
      <c r="R9" s="39" t="s">
        <v>61</v>
      </c>
      <c r="S9" s="39"/>
    </row>
    <row r="10" spans="1:19" ht="12.75">
      <c r="A10" s="39" t="s">
        <v>89</v>
      </c>
      <c r="B10" s="39">
        <v>344</v>
      </c>
      <c r="C10" s="39">
        <v>30</v>
      </c>
      <c r="D10" s="39">
        <v>38.98</v>
      </c>
      <c r="E10" s="46">
        <v>1169.4</v>
      </c>
      <c r="F10" s="39">
        <v>50</v>
      </c>
      <c r="G10" s="39">
        <v>51.61</v>
      </c>
      <c r="H10" s="46">
        <v>2580.5</v>
      </c>
      <c r="I10" s="39"/>
      <c r="J10" s="39" t="s">
        <v>58</v>
      </c>
      <c r="K10" s="39">
        <v>1</v>
      </c>
      <c r="L10" s="46">
        <v>130</v>
      </c>
      <c r="M10" s="46">
        <v>130</v>
      </c>
      <c r="N10" s="39" t="s">
        <v>90</v>
      </c>
      <c r="O10" s="39" t="s">
        <v>91</v>
      </c>
      <c r="P10" s="39">
        <v>12</v>
      </c>
      <c r="Q10" s="39">
        <v>7</v>
      </c>
      <c r="R10" s="46">
        <v>84</v>
      </c>
      <c r="S10" s="46"/>
    </row>
    <row r="11" spans="1:19" ht="12.75">
      <c r="A11" s="39"/>
      <c r="B11" s="39"/>
      <c r="C11" s="39">
        <v>50</v>
      </c>
      <c r="D11" s="39">
        <v>65.33</v>
      </c>
      <c r="E11" s="46">
        <v>3266.5</v>
      </c>
      <c r="F11" s="39">
        <v>40</v>
      </c>
      <c r="G11" s="39">
        <v>36.67</v>
      </c>
      <c r="H11" s="46">
        <v>1466.8</v>
      </c>
      <c r="I11" s="39"/>
      <c r="J11" s="39" t="s">
        <v>92</v>
      </c>
      <c r="K11" s="39">
        <v>1</v>
      </c>
      <c r="L11" s="46">
        <v>86</v>
      </c>
      <c r="M11" s="46">
        <v>86</v>
      </c>
      <c r="N11" s="39" t="s">
        <v>93</v>
      </c>
      <c r="O11" s="39" t="s">
        <v>91</v>
      </c>
      <c r="P11" s="39">
        <v>12</v>
      </c>
      <c r="Q11" s="39">
        <v>8</v>
      </c>
      <c r="R11" s="46">
        <v>96</v>
      </c>
      <c r="S11" s="46"/>
    </row>
    <row r="12" spans="1:19" ht="12.75">
      <c r="A12" s="39"/>
      <c r="B12" s="39"/>
      <c r="C12" s="39"/>
      <c r="D12" s="39"/>
      <c r="E12" s="39"/>
      <c r="F12" s="39"/>
      <c r="G12" s="39"/>
      <c r="H12" s="39"/>
      <c r="I12" s="39"/>
      <c r="J12" s="39" t="s">
        <v>57</v>
      </c>
      <c r="K12" s="39">
        <v>1</v>
      </c>
      <c r="L12" s="46">
        <v>123</v>
      </c>
      <c r="M12" s="46">
        <v>123</v>
      </c>
      <c r="N12" s="39" t="s">
        <v>94</v>
      </c>
      <c r="O12" s="39" t="s">
        <v>91</v>
      </c>
      <c r="P12" s="39">
        <v>50</v>
      </c>
      <c r="Q12" s="39">
        <v>9</v>
      </c>
      <c r="R12" s="46">
        <v>450</v>
      </c>
      <c r="S12" s="46"/>
    </row>
    <row r="13" spans="1:19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6"/>
      <c r="M13" s="46"/>
      <c r="N13" s="39" t="s">
        <v>95</v>
      </c>
      <c r="O13" s="39" t="s">
        <v>91</v>
      </c>
      <c r="P13" s="39">
        <v>24</v>
      </c>
      <c r="Q13" s="39">
        <v>3.5</v>
      </c>
      <c r="R13" s="46">
        <v>84</v>
      </c>
      <c r="S13" s="46"/>
    </row>
    <row r="14" spans="1:19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6"/>
      <c r="M14" s="46"/>
      <c r="N14" s="39" t="s">
        <v>96</v>
      </c>
      <c r="O14" s="39" t="s">
        <v>91</v>
      </c>
      <c r="P14" s="39">
        <v>6</v>
      </c>
      <c r="Q14" s="39">
        <v>15</v>
      </c>
      <c r="R14" s="46">
        <v>90</v>
      </c>
      <c r="S14" s="46"/>
    </row>
    <row r="15" spans="1:19" ht="12.75">
      <c r="A15" s="39" t="s">
        <v>86</v>
      </c>
      <c r="B15" s="46">
        <v>344</v>
      </c>
      <c r="C15" s="46"/>
      <c r="D15" s="46"/>
      <c r="E15" s="46">
        <v>4435.9</v>
      </c>
      <c r="F15" s="46"/>
      <c r="G15" s="46"/>
      <c r="H15" s="46">
        <v>4047.3</v>
      </c>
      <c r="I15" s="46">
        <v>8827.2</v>
      </c>
      <c r="J15" s="39"/>
      <c r="K15" s="39"/>
      <c r="L15" s="46"/>
      <c r="M15" s="46">
        <v>339</v>
      </c>
      <c r="N15" s="39"/>
      <c r="O15" s="39"/>
      <c r="P15" s="39"/>
      <c r="Q15" s="39"/>
      <c r="R15" s="46">
        <v>804</v>
      </c>
      <c r="S15" s="46">
        <v>9970.2</v>
      </c>
    </row>
    <row r="16" spans="1:19" ht="12.75">
      <c r="A16" s="39" t="s">
        <v>97</v>
      </c>
      <c r="B16" s="39"/>
      <c r="C16" s="39"/>
      <c r="D16" s="39"/>
      <c r="E16" s="39"/>
      <c r="F16" s="39"/>
      <c r="G16" s="39"/>
      <c r="H16" s="39"/>
      <c r="I16" s="39"/>
      <c r="J16" s="39" t="s">
        <v>58</v>
      </c>
      <c r="K16" s="39">
        <v>1</v>
      </c>
      <c r="L16" s="46">
        <v>130</v>
      </c>
      <c r="M16" s="46">
        <v>130</v>
      </c>
      <c r="N16" s="39" t="s">
        <v>90</v>
      </c>
      <c r="O16" s="39" t="s">
        <v>91</v>
      </c>
      <c r="P16" s="39">
        <v>12</v>
      </c>
      <c r="Q16" s="39">
        <v>7</v>
      </c>
      <c r="R16" s="46">
        <v>84</v>
      </c>
      <c r="S16" s="46"/>
    </row>
    <row r="17" spans="1:19" ht="12.75">
      <c r="A17" s="39"/>
      <c r="B17" s="39"/>
      <c r="C17" s="39"/>
      <c r="D17" s="39"/>
      <c r="E17" s="39"/>
      <c r="F17" s="39"/>
      <c r="G17" s="39"/>
      <c r="H17" s="39"/>
      <c r="I17" s="39"/>
      <c r="J17" s="39" t="s">
        <v>92</v>
      </c>
      <c r="K17" s="39">
        <v>1</v>
      </c>
      <c r="L17" s="46">
        <v>86</v>
      </c>
      <c r="M17" s="46">
        <v>86</v>
      </c>
      <c r="N17" s="39" t="s">
        <v>93</v>
      </c>
      <c r="O17" s="39" t="s">
        <v>91</v>
      </c>
      <c r="P17" s="39">
        <v>12</v>
      </c>
      <c r="Q17" s="39">
        <v>8</v>
      </c>
      <c r="R17" s="46">
        <v>96</v>
      </c>
      <c r="S17" s="46"/>
    </row>
    <row r="18" spans="1:19" ht="12.75">
      <c r="A18" s="39"/>
      <c r="B18" s="39"/>
      <c r="C18" s="39"/>
      <c r="D18" s="39"/>
      <c r="E18" s="39"/>
      <c r="F18" s="39"/>
      <c r="G18" s="39"/>
      <c r="H18" s="39"/>
      <c r="I18" s="39"/>
      <c r="J18" s="39" t="s">
        <v>57</v>
      </c>
      <c r="K18" s="39">
        <v>1</v>
      </c>
      <c r="L18" s="46">
        <v>123</v>
      </c>
      <c r="M18" s="46">
        <v>123</v>
      </c>
      <c r="N18" s="39" t="s">
        <v>94</v>
      </c>
      <c r="O18" s="39" t="s">
        <v>91</v>
      </c>
      <c r="P18" s="39">
        <v>50</v>
      </c>
      <c r="Q18" s="39">
        <v>9</v>
      </c>
      <c r="R18" s="46">
        <v>450</v>
      </c>
      <c r="S18" s="46"/>
    </row>
    <row r="19" spans="1:19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6"/>
      <c r="M19" s="46"/>
      <c r="N19" s="39" t="s">
        <v>95</v>
      </c>
      <c r="O19" s="39" t="s">
        <v>91</v>
      </c>
      <c r="P19" s="39">
        <v>24</v>
      </c>
      <c r="Q19" s="39">
        <v>3.5</v>
      </c>
      <c r="R19" s="46">
        <v>84</v>
      </c>
      <c r="S19" s="46"/>
    </row>
    <row r="20" spans="1:19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6"/>
      <c r="M20" s="46"/>
      <c r="N20" s="39" t="s">
        <v>96</v>
      </c>
      <c r="O20" s="39" t="s">
        <v>91</v>
      </c>
      <c r="P20" s="39">
        <v>5</v>
      </c>
      <c r="Q20" s="39">
        <v>15</v>
      </c>
      <c r="R20" s="46">
        <v>75</v>
      </c>
      <c r="S20" s="46"/>
    </row>
    <row r="21" spans="1:19" ht="12.75">
      <c r="A21" s="39" t="s">
        <v>86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6"/>
      <c r="M21" s="46">
        <v>339</v>
      </c>
      <c r="N21" s="39"/>
      <c r="O21" s="39"/>
      <c r="P21" s="39"/>
      <c r="Q21" s="39"/>
      <c r="R21" s="46">
        <v>789</v>
      </c>
      <c r="S21" s="46">
        <v>1128</v>
      </c>
    </row>
    <row r="22" spans="1:19" ht="12.75">
      <c r="A22" s="39" t="s">
        <v>48</v>
      </c>
      <c r="B22" s="39"/>
      <c r="C22" s="39"/>
      <c r="D22" s="39"/>
      <c r="E22" s="39"/>
      <c r="F22" s="39"/>
      <c r="G22" s="39"/>
      <c r="H22" s="39"/>
      <c r="I22" s="46">
        <v>8827.2</v>
      </c>
      <c r="J22" s="39"/>
      <c r="K22" s="39"/>
      <c r="L22" s="46"/>
      <c r="M22" s="46">
        <v>678</v>
      </c>
      <c r="N22" s="39"/>
      <c r="O22" s="39"/>
      <c r="P22" s="39"/>
      <c r="Q22" s="39"/>
      <c r="R22" s="46">
        <v>1593</v>
      </c>
      <c r="S22" s="46">
        <v>11098.2</v>
      </c>
    </row>
    <row r="26" ht="12.75">
      <c r="A26" s="38" t="s">
        <v>65</v>
      </c>
    </row>
  </sheetData>
  <mergeCells count="4">
    <mergeCell ref="A1:I1"/>
    <mergeCell ref="B7:I7"/>
    <mergeCell ref="C8:E8"/>
    <mergeCell ref="F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24" sqref="N24"/>
    </sheetView>
  </sheetViews>
  <sheetFormatPr defaultColWidth="9.125" defaultRowHeight="12.75"/>
  <cols>
    <col min="1" max="1" width="20.125" style="36" customWidth="1"/>
    <col min="2" max="2" width="5.00390625" style="36" customWidth="1"/>
    <col min="3" max="3" width="5.875" style="36" customWidth="1"/>
    <col min="4" max="4" width="7.625" style="36" customWidth="1"/>
    <col min="5" max="5" width="9.125" style="36" customWidth="1"/>
    <col min="6" max="6" width="5.75390625" style="36" customWidth="1"/>
    <col min="7" max="7" width="6.875" style="36" customWidth="1"/>
    <col min="8" max="8" width="7.375" style="36" customWidth="1"/>
    <col min="9" max="16384" width="9.125" style="36" customWidth="1"/>
  </cols>
  <sheetData>
    <row r="1" spans="1:11" ht="12.75">
      <c r="A1" s="37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28</v>
      </c>
      <c r="B4" s="38" t="s">
        <v>99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9" t="s">
        <v>100</v>
      </c>
      <c r="B8" s="48" t="s">
        <v>101</v>
      </c>
      <c r="C8" s="48"/>
      <c r="D8" s="48"/>
      <c r="E8" s="48"/>
      <c r="F8" s="48" t="s">
        <v>102</v>
      </c>
      <c r="G8" s="48"/>
      <c r="H8" s="48"/>
      <c r="I8" s="48"/>
      <c r="J8" s="48" t="s">
        <v>86</v>
      </c>
      <c r="K8" s="48"/>
    </row>
    <row r="9" spans="1:11" ht="12.75">
      <c r="A9" s="39"/>
      <c r="B9" s="39" t="s">
        <v>103</v>
      </c>
      <c r="C9" s="39" t="s">
        <v>74</v>
      </c>
      <c r="D9" s="39" t="s">
        <v>104</v>
      </c>
      <c r="E9" s="39" t="s">
        <v>105</v>
      </c>
      <c r="F9" s="39" t="s">
        <v>103</v>
      </c>
      <c r="G9" s="39" t="s">
        <v>74</v>
      </c>
      <c r="H9" s="39" t="s">
        <v>104</v>
      </c>
      <c r="I9" s="39" t="s">
        <v>105</v>
      </c>
      <c r="J9" s="39"/>
      <c r="K9" s="39"/>
    </row>
    <row r="10" spans="1:11" ht="12.75">
      <c r="A10" s="39"/>
      <c r="B10" s="39" t="s">
        <v>106</v>
      </c>
      <c r="C10" s="39"/>
      <c r="D10" s="39"/>
      <c r="E10" s="39"/>
      <c r="F10" s="39" t="s">
        <v>106</v>
      </c>
      <c r="G10" s="39"/>
      <c r="H10" s="39"/>
      <c r="I10" s="39"/>
      <c r="J10" s="39" t="s">
        <v>62</v>
      </c>
      <c r="K10" s="39" t="s">
        <v>63</v>
      </c>
    </row>
    <row r="11" spans="1:11" ht="12.75">
      <c r="A11" s="39" t="s">
        <v>107</v>
      </c>
      <c r="B11" s="39" t="s">
        <v>108</v>
      </c>
      <c r="C11" s="39">
        <v>32</v>
      </c>
      <c r="D11" s="46">
        <v>40</v>
      </c>
      <c r="E11" s="46">
        <v>1280</v>
      </c>
      <c r="F11" s="39" t="s">
        <v>108</v>
      </c>
      <c r="G11" s="39">
        <v>32</v>
      </c>
      <c r="H11" s="46">
        <v>40</v>
      </c>
      <c r="I11" s="46">
        <v>1280</v>
      </c>
      <c r="J11" s="46">
        <v>2560</v>
      </c>
      <c r="K11" s="39"/>
    </row>
    <row r="12" spans="1:11" ht="12.75">
      <c r="A12" s="39" t="s">
        <v>109</v>
      </c>
      <c r="B12" s="39" t="s">
        <v>91</v>
      </c>
      <c r="C12" s="39">
        <v>1</v>
      </c>
      <c r="D12" s="46">
        <v>610</v>
      </c>
      <c r="E12" s="46">
        <v>610</v>
      </c>
      <c r="F12" s="39" t="s">
        <v>91</v>
      </c>
      <c r="G12" s="39">
        <v>1</v>
      </c>
      <c r="H12" s="46">
        <v>610</v>
      </c>
      <c r="I12" s="46">
        <v>610</v>
      </c>
      <c r="J12" s="46">
        <v>1220</v>
      </c>
      <c r="K12" s="39"/>
    </row>
    <row r="13" spans="1:11" ht="12.75">
      <c r="A13" s="39" t="s">
        <v>110</v>
      </c>
      <c r="B13" s="39" t="s">
        <v>111</v>
      </c>
      <c r="C13" s="39">
        <v>40</v>
      </c>
      <c r="D13" s="46">
        <v>2</v>
      </c>
      <c r="E13" s="46">
        <v>80</v>
      </c>
      <c r="F13" s="39" t="s">
        <v>111</v>
      </c>
      <c r="G13" s="39">
        <v>40</v>
      </c>
      <c r="H13" s="46">
        <v>2</v>
      </c>
      <c r="I13" s="46">
        <v>80</v>
      </c>
      <c r="J13" s="46">
        <v>160</v>
      </c>
      <c r="K13" s="39"/>
    </row>
    <row r="14" spans="1:11" ht="12.75">
      <c r="A14" s="39" t="s">
        <v>112</v>
      </c>
      <c r="B14" s="39" t="s">
        <v>111</v>
      </c>
      <c r="C14" s="39">
        <v>40</v>
      </c>
      <c r="D14" s="46">
        <v>1.5</v>
      </c>
      <c r="E14" s="46">
        <v>60</v>
      </c>
      <c r="F14" s="39" t="s">
        <v>111</v>
      </c>
      <c r="G14" s="39">
        <v>40</v>
      </c>
      <c r="H14" s="46">
        <v>1.5</v>
      </c>
      <c r="I14" s="46">
        <v>60</v>
      </c>
      <c r="J14" s="46">
        <v>120</v>
      </c>
      <c r="K14" s="39"/>
    </row>
    <row r="15" spans="1:11" ht="12.75">
      <c r="A15" s="39" t="s">
        <v>113</v>
      </c>
      <c r="B15" s="39" t="s">
        <v>91</v>
      </c>
      <c r="C15" s="39">
        <v>4</v>
      </c>
      <c r="D15" s="46">
        <v>2</v>
      </c>
      <c r="E15" s="46">
        <v>8</v>
      </c>
      <c r="F15" s="39" t="s">
        <v>91</v>
      </c>
      <c r="G15" s="39">
        <v>4</v>
      </c>
      <c r="H15" s="46">
        <v>2</v>
      </c>
      <c r="I15" s="46">
        <v>8</v>
      </c>
      <c r="J15" s="46">
        <v>16</v>
      </c>
      <c r="K15" s="39"/>
    </row>
    <row r="16" spans="1:11" ht="12.75">
      <c r="A16" s="39" t="s">
        <v>114</v>
      </c>
      <c r="B16" s="39" t="s">
        <v>91</v>
      </c>
      <c r="C16" s="39">
        <v>2</v>
      </c>
      <c r="D16" s="46">
        <v>3</v>
      </c>
      <c r="E16" s="46">
        <v>6</v>
      </c>
      <c r="F16" s="39" t="s">
        <v>91</v>
      </c>
      <c r="G16" s="39">
        <v>2</v>
      </c>
      <c r="H16" s="46">
        <v>3</v>
      </c>
      <c r="I16" s="46">
        <v>6</v>
      </c>
      <c r="J16" s="46">
        <v>12</v>
      </c>
      <c r="K16" s="39"/>
    </row>
    <row r="17" spans="1:11" ht="12.75">
      <c r="A17" s="39" t="s">
        <v>115</v>
      </c>
      <c r="B17" s="39" t="s">
        <v>91</v>
      </c>
      <c r="C17" s="39">
        <v>2</v>
      </c>
      <c r="D17" s="46">
        <v>7</v>
      </c>
      <c r="E17" s="46">
        <v>14</v>
      </c>
      <c r="F17" s="39" t="s">
        <v>91</v>
      </c>
      <c r="G17" s="39">
        <v>2</v>
      </c>
      <c r="H17" s="46">
        <v>7</v>
      </c>
      <c r="I17" s="46">
        <v>14</v>
      </c>
      <c r="J17" s="46">
        <v>28</v>
      </c>
      <c r="K17" s="39"/>
    </row>
    <row r="18" spans="1:11" ht="12.75">
      <c r="A18" s="39" t="s">
        <v>116</v>
      </c>
      <c r="B18" s="39" t="s">
        <v>117</v>
      </c>
      <c r="C18" s="39">
        <v>2</v>
      </c>
      <c r="D18" s="46">
        <v>27</v>
      </c>
      <c r="E18" s="46">
        <v>54</v>
      </c>
      <c r="F18" s="39" t="s">
        <v>117</v>
      </c>
      <c r="G18" s="39">
        <v>2</v>
      </c>
      <c r="H18" s="46">
        <v>27</v>
      </c>
      <c r="I18" s="46">
        <v>54</v>
      </c>
      <c r="J18" s="46">
        <v>108</v>
      </c>
      <c r="K18" s="39"/>
    </row>
    <row r="19" spans="1:11" ht="12.75">
      <c r="A19" s="39" t="s">
        <v>118</v>
      </c>
      <c r="B19" s="39" t="s">
        <v>91</v>
      </c>
      <c r="C19" s="39">
        <v>10</v>
      </c>
      <c r="D19" s="46">
        <v>3</v>
      </c>
      <c r="E19" s="46">
        <v>30</v>
      </c>
      <c r="F19" s="39" t="s">
        <v>91</v>
      </c>
      <c r="G19" s="39">
        <v>10</v>
      </c>
      <c r="H19" s="46">
        <v>3</v>
      </c>
      <c r="I19" s="46">
        <v>30</v>
      </c>
      <c r="J19" s="46">
        <v>60</v>
      </c>
      <c r="K19" s="39"/>
    </row>
    <row r="20" spans="1:11" ht="12.75">
      <c r="A20" s="39" t="s">
        <v>48</v>
      </c>
      <c r="B20" s="39"/>
      <c r="C20" s="39"/>
      <c r="D20" s="46"/>
      <c r="E20" s="46">
        <v>2142</v>
      </c>
      <c r="F20" s="39"/>
      <c r="G20" s="39"/>
      <c r="H20" s="46"/>
      <c r="I20" s="46">
        <v>2142</v>
      </c>
      <c r="J20" s="46">
        <v>4284</v>
      </c>
      <c r="K20" s="39">
        <v>4.284</v>
      </c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8" t="s">
        <v>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4">
    <mergeCell ref="A1:J1"/>
    <mergeCell ref="B8:E8"/>
    <mergeCell ref="F8:I8"/>
    <mergeCell ref="J8:K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K34" sqref="K34"/>
    </sheetView>
  </sheetViews>
  <sheetFormatPr defaultColWidth="9.00390625" defaultRowHeight="12.75"/>
  <cols>
    <col min="1" max="1" width="32.25390625" style="38" customWidth="1"/>
    <col min="2" max="2" width="9.125" style="38" customWidth="1"/>
    <col min="3" max="3" width="6.00390625" style="38" customWidth="1"/>
    <col min="4" max="4" width="7.75390625" style="38" customWidth="1"/>
    <col min="5" max="16384" width="9.125" style="38" customWidth="1"/>
  </cols>
  <sheetData>
    <row r="1" spans="1:5" ht="12.75">
      <c r="A1" s="37" t="s">
        <v>119</v>
      </c>
      <c r="B1" s="37"/>
      <c r="C1" s="37"/>
      <c r="D1" s="37"/>
      <c r="E1" s="37"/>
    </row>
    <row r="4" spans="1:2" ht="12.75">
      <c r="A4" s="38" t="s">
        <v>120</v>
      </c>
      <c r="B4" s="38" t="s">
        <v>44</v>
      </c>
    </row>
    <row r="8" spans="1:5" ht="12.75">
      <c r="A8" s="39" t="s">
        <v>100</v>
      </c>
      <c r="B8" s="39" t="s">
        <v>103</v>
      </c>
      <c r="C8" s="39" t="s">
        <v>74</v>
      </c>
      <c r="D8" s="39" t="s">
        <v>104</v>
      </c>
      <c r="E8" s="39" t="s">
        <v>105</v>
      </c>
    </row>
    <row r="9" spans="1:5" ht="12.75">
      <c r="A9" s="39"/>
      <c r="B9" s="39"/>
      <c r="C9" s="39"/>
      <c r="D9" s="39"/>
      <c r="E9" s="39" t="s">
        <v>62</v>
      </c>
    </row>
    <row r="10" spans="1:5" ht="12.75">
      <c r="A10" s="39" t="s">
        <v>107</v>
      </c>
      <c r="B10" s="39" t="s">
        <v>108</v>
      </c>
      <c r="C10" s="39">
        <v>40</v>
      </c>
      <c r="D10" s="46">
        <v>40</v>
      </c>
      <c r="E10" s="46">
        <v>1600</v>
      </c>
    </row>
    <row r="11" spans="1:5" ht="12.75">
      <c r="A11" s="39" t="s">
        <v>121</v>
      </c>
      <c r="B11" s="39" t="s">
        <v>122</v>
      </c>
      <c r="C11" s="39">
        <v>2</v>
      </c>
      <c r="D11" s="46">
        <v>80</v>
      </c>
      <c r="E11" s="46">
        <v>160</v>
      </c>
    </row>
    <row r="12" spans="1:5" ht="12.75">
      <c r="A12" s="39" t="s">
        <v>109</v>
      </c>
      <c r="B12" s="39" t="s">
        <v>91</v>
      </c>
      <c r="C12" s="39">
        <v>2</v>
      </c>
      <c r="D12" s="46">
        <v>428</v>
      </c>
      <c r="E12" s="46">
        <v>856</v>
      </c>
    </row>
    <row r="13" spans="1:5" ht="12.75">
      <c r="A13" s="39" t="s">
        <v>109</v>
      </c>
      <c r="B13" s="39" t="s">
        <v>91</v>
      </c>
      <c r="C13" s="39">
        <v>1</v>
      </c>
      <c r="D13" s="46">
        <v>605</v>
      </c>
      <c r="E13" s="46">
        <v>605</v>
      </c>
    </row>
    <row r="14" spans="1:5" ht="12.75">
      <c r="A14" s="39" t="s">
        <v>123</v>
      </c>
      <c r="B14" s="39" t="s">
        <v>91</v>
      </c>
      <c r="C14" s="39">
        <v>1</v>
      </c>
      <c r="D14" s="46">
        <v>582</v>
      </c>
      <c r="E14" s="46">
        <v>582</v>
      </c>
    </row>
    <row r="15" spans="1:5" ht="12.75">
      <c r="A15" s="39" t="s">
        <v>110</v>
      </c>
      <c r="B15" s="39" t="s">
        <v>111</v>
      </c>
      <c r="C15" s="39">
        <v>30</v>
      </c>
      <c r="D15" s="46">
        <v>2</v>
      </c>
      <c r="E15" s="46">
        <v>60</v>
      </c>
    </row>
    <row r="16" spans="1:5" ht="12.75">
      <c r="A16" s="39" t="s">
        <v>112</v>
      </c>
      <c r="B16" s="39" t="s">
        <v>111</v>
      </c>
      <c r="C16" s="39">
        <v>30</v>
      </c>
      <c r="D16" s="46">
        <v>1.5</v>
      </c>
      <c r="E16" s="46">
        <v>45</v>
      </c>
    </row>
    <row r="17" spans="1:5" ht="12.75">
      <c r="A17" s="39" t="s">
        <v>124</v>
      </c>
      <c r="B17" s="39" t="s">
        <v>125</v>
      </c>
      <c r="C17" s="39">
        <v>50</v>
      </c>
      <c r="D17" s="46">
        <v>14</v>
      </c>
      <c r="E17" s="46">
        <v>700</v>
      </c>
    </row>
    <row r="18" spans="1:5" ht="12.75">
      <c r="A18" s="39" t="s">
        <v>113</v>
      </c>
      <c r="B18" s="39" t="s">
        <v>91</v>
      </c>
      <c r="C18" s="39">
        <v>12</v>
      </c>
      <c r="D18" s="46">
        <v>2</v>
      </c>
      <c r="E18" s="46">
        <v>24</v>
      </c>
    </row>
    <row r="19" spans="1:5" ht="12.75">
      <c r="A19" s="39" t="s">
        <v>114</v>
      </c>
      <c r="B19" s="39" t="s">
        <v>91</v>
      </c>
      <c r="C19" s="39">
        <v>12</v>
      </c>
      <c r="D19" s="46">
        <v>3</v>
      </c>
      <c r="E19" s="46">
        <v>36</v>
      </c>
    </row>
    <row r="20" spans="1:5" ht="12.75">
      <c r="A20" s="39" t="s">
        <v>116</v>
      </c>
      <c r="B20" s="39" t="s">
        <v>117</v>
      </c>
      <c r="C20" s="39">
        <v>6</v>
      </c>
      <c r="D20" s="46">
        <v>27</v>
      </c>
      <c r="E20" s="46">
        <v>162</v>
      </c>
    </row>
    <row r="21" spans="1:5" ht="12.75">
      <c r="A21" s="39" t="s">
        <v>118</v>
      </c>
      <c r="B21" s="39" t="s">
        <v>91</v>
      </c>
      <c r="C21" s="39">
        <v>12</v>
      </c>
      <c r="D21" s="46">
        <v>2.5</v>
      </c>
      <c r="E21" s="46">
        <v>30</v>
      </c>
    </row>
    <row r="22" spans="1:5" ht="12.75">
      <c r="A22" s="39" t="s">
        <v>126</v>
      </c>
      <c r="B22" s="39" t="s">
        <v>127</v>
      </c>
      <c r="C22" s="39">
        <v>10</v>
      </c>
      <c r="D22" s="46">
        <v>44</v>
      </c>
      <c r="E22" s="46">
        <v>440</v>
      </c>
    </row>
    <row r="23" spans="1:5" ht="12.75">
      <c r="A23" s="39" t="s">
        <v>128</v>
      </c>
      <c r="B23" s="39" t="s">
        <v>129</v>
      </c>
      <c r="C23" s="39">
        <v>4</v>
      </c>
      <c r="D23" s="46">
        <v>23</v>
      </c>
      <c r="E23" s="46">
        <v>92</v>
      </c>
    </row>
    <row r="24" spans="1:5" ht="12.75">
      <c r="A24" s="39" t="s">
        <v>130</v>
      </c>
      <c r="B24" s="39"/>
      <c r="C24" s="39"/>
      <c r="D24" s="46"/>
      <c r="E24" s="46">
        <v>1861</v>
      </c>
    </row>
    <row r="25" spans="1:5" ht="12.75">
      <c r="A25" s="39" t="s">
        <v>131</v>
      </c>
      <c r="B25" s="39"/>
      <c r="C25" s="39"/>
      <c r="D25" s="46"/>
      <c r="E25" s="46"/>
    </row>
    <row r="26" spans="1:5" ht="12.75">
      <c r="A26" s="39" t="s">
        <v>132</v>
      </c>
      <c r="B26" s="39" t="s">
        <v>133</v>
      </c>
      <c r="C26" s="39">
        <v>251</v>
      </c>
      <c r="D26" s="46">
        <v>152.06</v>
      </c>
      <c r="E26" s="46">
        <v>38167.06</v>
      </c>
    </row>
    <row r="27" spans="1:5" ht="12.75">
      <c r="A27" s="39" t="s">
        <v>134</v>
      </c>
      <c r="B27" s="39"/>
      <c r="C27" s="39"/>
      <c r="D27" s="46"/>
      <c r="E27" s="46"/>
    </row>
    <row r="28" spans="1:5" ht="12.75">
      <c r="A28" s="39" t="s">
        <v>48</v>
      </c>
      <c r="B28" s="39"/>
      <c r="C28" s="39"/>
      <c r="D28" s="46"/>
      <c r="E28" s="46">
        <v>45420.06</v>
      </c>
    </row>
    <row r="32" ht="12.75">
      <c r="A32" s="38" t="s">
        <v>65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M34" sqref="M33:M34"/>
    </sheetView>
  </sheetViews>
  <sheetFormatPr defaultColWidth="9.125" defaultRowHeight="12.75"/>
  <cols>
    <col min="1" max="1" width="22.75390625" style="38" customWidth="1"/>
    <col min="2" max="2" width="5.125" style="38" customWidth="1"/>
    <col min="3" max="3" width="6.125" style="38" customWidth="1"/>
    <col min="4" max="16384" width="9.125" style="38" customWidth="1"/>
  </cols>
  <sheetData>
    <row r="1" ht="12.75">
      <c r="A1" s="38" t="s">
        <v>135</v>
      </c>
    </row>
    <row r="4" spans="1:2" ht="12.75">
      <c r="A4" s="38" t="s">
        <v>136</v>
      </c>
      <c r="B4" s="38" t="s">
        <v>44</v>
      </c>
    </row>
    <row r="8" spans="1:6" ht="12.75">
      <c r="A8" s="39" t="s">
        <v>100</v>
      </c>
      <c r="B8" s="39"/>
      <c r="C8" s="39" t="s">
        <v>74</v>
      </c>
      <c r="D8" s="39" t="s">
        <v>104</v>
      </c>
      <c r="E8" s="39" t="s">
        <v>61</v>
      </c>
      <c r="F8" s="39" t="s">
        <v>86</v>
      </c>
    </row>
    <row r="9" spans="1:6" ht="12.75">
      <c r="A9" s="39"/>
      <c r="B9" s="39"/>
      <c r="C9" s="39"/>
      <c r="D9" s="39"/>
      <c r="E9" s="39" t="s">
        <v>137</v>
      </c>
      <c r="F9" s="39" t="s">
        <v>63</v>
      </c>
    </row>
    <row r="10" spans="1:6" ht="12.75">
      <c r="A10" s="39" t="s">
        <v>109</v>
      </c>
      <c r="B10" s="39" t="s">
        <v>91</v>
      </c>
      <c r="C10" s="39">
        <v>4</v>
      </c>
      <c r="D10" s="46">
        <v>428</v>
      </c>
      <c r="E10" s="46">
        <v>1712</v>
      </c>
      <c r="F10" s="39"/>
    </row>
    <row r="11" spans="1:6" ht="12.75">
      <c r="A11" s="39" t="s">
        <v>109</v>
      </c>
      <c r="B11" s="39" t="s">
        <v>91</v>
      </c>
      <c r="C11" s="39">
        <v>2</v>
      </c>
      <c r="D11" s="46">
        <v>445</v>
      </c>
      <c r="E11" s="46">
        <v>890</v>
      </c>
      <c r="F11" s="39"/>
    </row>
    <row r="12" spans="1:6" ht="12.75">
      <c r="A12" s="39" t="s">
        <v>109</v>
      </c>
      <c r="B12" s="39" t="s">
        <v>91</v>
      </c>
      <c r="C12" s="39">
        <v>2</v>
      </c>
      <c r="D12" s="46">
        <v>645</v>
      </c>
      <c r="E12" s="46">
        <v>1290</v>
      </c>
      <c r="F12" s="39"/>
    </row>
    <row r="13" spans="1:6" ht="12.75">
      <c r="A13" s="39" t="s">
        <v>109</v>
      </c>
      <c r="B13" s="39" t="s">
        <v>91</v>
      </c>
      <c r="C13" s="39">
        <v>2</v>
      </c>
      <c r="D13" s="46">
        <v>900</v>
      </c>
      <c r="E13" s="46">
        <v>1800</v>
      </c>
      <c r="F13" s="39"/>
    </row>
    <row r="14" spans="1:6" ht="12.75">
      <c r="A14" s="39" t="s">
        <v>123</v>
      </c>
      <c r="B14" s="39" t="s">
        <v>91</v>
      </c>
      <c r="C14" s="39">
        <v>4</v>
      </c>
      <c r="D14" s="46">
        <v>582</v>
      </c>
      <c r="E14" s="46">
        <v>2328</v>
      </c>
      <c r="F14" s="39"/>
    </row>
    <row r="15" spans="1:6" ht="12.75">
      <c r="A15" s="39" t="s">
        <v>107</v>
      </c>
      <c r="B15" s="39" t="s">
        <v>108</v>
      </c>
      <c r="C15" s="39">
        <v>206</v>
      </c>
      <c r="D15" s="46">
        <v>40</v>
      </c>
      <c r="E15" s="46">
        <v>8240</v>
      </c>
      <c r="F15" s="39"/>
    </row>
    <row r="16" spans="1:6" ht="12.75">
      <c r="A16" s="39" t="s">
        <v>138</v>
      </c>
      <c r="B16" s="39" t="s">
        <v>108</v>
      </c>
      <c r="C16" s="39">
        <v>30</v>
      </c>
      <c r="D16" s="46">
        <v>80</v>
      </c>
      <c r="E16" s="46">
        <v>2400</v>
      </c>
      <c r="F16" s="39"/>
    </row>
    <row r="17" spans="1:6" ht="12.75">
      <c r="A17" s="39" t="s">
        <v>110</v>
      </c>
      <c r="B17" s="39" t="s">
        <v>111</v>
      </c>
      <c r="C17" s="39">
        <v>200</v>
      </c>
      <c r="D17" s="46">
        <v>2</v>
      </c>
      <c r="E17" s="46">
        <v>400</v>
      </c>
      <c r="F17" s="39"/>
    </row>
    <row r="18" spans="1:6" ht="12.75">
      <c r="A18" s="39" t="s">
        <v>112</v>
      </c>
      <c r="B18" s="39" t="s">
        <v>111</v>
      </c>
      <c r="C18" s="39">
        <v>200</v>
      </c>
      <c r="D18" s="46">
        <v>1.5</v>
      </c>
      <c r="E18" s="46">
        <v>300</v>
      </c>
      <c r="F18" s="39"/>
    </row>
    <row r="19" spans="1:6" ht="12.75">
      <c r="A19" s="39" t="s">
        <v>139</v>
      </c>
      <c r="B19" s="39" t="s">
        <v>91</v>
      </c>
      <c r="C19" s="39">
        <v>10</v>
      </c>
      <c r="D19" s="46">
        <v>180</v>
      </c>
      <c r="E19" s="46">
        <v>1800</v>
      </c>
      <c r="F19" s="39"/>
    </row>
    <row r="20" spans="1:6" ht="12.75">
      <c r="A20" s="39" t="s">
        <v>113</v>
      </c>
      <c r="B20" s="39" t="s">
        <v>91</v>
      </c>
      <c r="C20" s="39">
        <v>110</v>
      </c>
      <c r="D20" s="46">
        <v>2</v>
      </c>
      <c r="E20" s="46">
        <v>220</v>
      </c>
      <c r="F20" s="39"/>
    </row>
    <row r="21" spans="1:6" ht="12.75">
      <c r="A21" s="39" t="s">
        <v>140</v>
      </c>
      <c r="B21" s="39" t="s">
        <v>111</v>
      </c>
      <c r="C21" s="39">
        <v>100</v>
      </c>
      <c r="D21" s="46">
        <v>1</v>
      </c>
      <c r="E21" s="46">
        <v>100</v>
      </c>
      <c r="F21" s="39"/>
    </row>
    <row r="22" spans="1:6" ht="12.75">
      <c r="A22" s="39" t="s">
        <v>141</v>
      </c>
      <c r="B22" s="39" t="s">
        <v>108</v>
      </c>
      <c r="C22" s="39">
        <v>30</v>
      </c>
      <c r="D22" s="46">
        <v>5.87</v>
      </c>
      <c r="E22" s="46">
        <v>176.1</v>
      </c>
      <c r="F22" s="39"/>
    </row>
    <row r="23" spans="1:6" ht="12.75">
      <c r="A23" s="39" t="s">
        <v>115</v>
      </c>
      <c r="B23" s="39" t="s">
        <v>91</v>
      </c>
      <c r="C23" s="39">
        <v>15</v>
      </c>
      <c r="D23" s="46">
        <v>7</v>
      </c>
      <c r="E23" s="46">
        <v>105</v>
      </c>
      <c r="F23" s="39"/>
    </row>
    <row r="24" spans="1:6" ht="12.75">
      <c r="A24" s="39" t="s">
        <v>116</v>
      </c>
      <c r="B24" s="39" t="s">
        <v>142</v>
      </c>
      <c r="C24" s="39">
        <v>27</v>
      </c>
      <c r="D24" s="46">
        <v>27</v>
      </c>
      <c r="E24" s="46">
        <v>729</v>
      </c>
      <c r="F24" s="39"/>
    </row>
    <row r="25" spans="1:6" ht="12.75">
      <c r="A25" s="39" t="s">
        <v>143</v>
      </c>
      <c r="B25" s="39" t="s">
        <v>111</v>
      </c>
      <c r="C25" s="39">
        <v>27</v>
      </c>
      <c r="D25" s="46">
        <v>3</v>
      </c>
      <c r="E25" s="46">
        <v>81</v>
      </c>
      <c r="F25" s="39"/>
    </row>
    <row r="26" spans="1:6" ht="12.75">
      <c r="A26" s="39" t="s">
        <v>144</v>
      </c>
      <c r="B26" s="39" t="s">
        <v>91</v>
      </c>
      <c r="C26" s="39">
        <v>27</v>
      </c>
      <c r="D26" s="46">
        <v>2.7</v>
      </c>
      <c r="E26" s="46">
        <v>72.9</v>
      </c>
      <c r="F26" s="39"/>
    </row>
    <row r="27" spans="1:6" ht="12.75">
      <c r="A27" s="39" t="s">
        <v>145</v>
      </c>
      <c r="B27" s="39" t="s">
        <v>91</v>
      </c>
      <c r="C27" s="39">
        <v>27</v>
      </c>
      <c r="D27" s="46">
        <v>16</v>
      </c>
      <c r="E27" s="46">
        <v>432</v>
      </c>
      <c r="F27" s="39"/>
    </row>
    <row r="28" spans="1:6" ht="12.75">
      <c r="A28" s="39" t="s">
        <v>146</v>
      </c>
      <c r="B28" s="39" t="s">
        <v>91</v>
      </c>
      <c r="C28" s="39">
        <v>5184</v>
      </c>
      <c r="D28" s="46">
        <v>0.5</v>
      </c>
      <c r="E28" s="46">
        <v>2592</v>
      </c>
      <c r="F28" s="39"/>
    </row>
    <row r="29" spans="1:6" ht="12.75">
      <c r="A29" s="39" t="s">
        <v>47</v>
      </c>
      <c r="B29" s="39"/>
      <c r="C29" s="39"/>
      <c r="D29" s="46"/>
      <c r="E29" s="46"/>
      <c r="F29" s="39"/>
    </row>
    <row r="30" spans="1:6" ht="12.75">
      <c r="A30" s="39" t="s">
        <v>147</v>
      </c>
      <c r="B30" s="39"/>
      <c r="C30" s="39">
        <v>1</v>
      </c>
      <c r="D30" s="46">
        <v>1010</v>
      </c>
      <c r="E30" s="46">
        <v>1010</v>
      </c>
      <c r="F30" s="39"/>
    </row>
    <row r="31" spans="1:6" ht="12.75">
      <c r="A31" s="39" t="s">
        <v>148</v>
      </c>
      <c r="B31" s="39"/>
      <c r="C31" s="39">
        <v>1</v>
      </c>
      <c r="D31" s="46">
        <v>270</v>
      </c>
      <c r="E31" s="46">
        <v>270</v>
      </c>
      <c r="F31" s="39"/>
    </row>
    <row r="32" spans="1:6" ht="12.75">
      <c r="A32" s="39" t="s">
        <v>48</v>
      </c>
      <c r="B32" s="39"/>
      <c r="C32" s="39"/>
      <c r="D32" s="46"/>
      <c r="E32" s="46">
        <v>26948</v>
      </c>
      <c r="F32" s="39">
        <v>26.948</v>
      </c>
    </row>
    <row r="36" ht="12.75">
      <c r="A36" s="38" t="s">
        <v>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M29" sqref="M29"/>
    </sheetView>
  </sheetViews>
  <sheetFormatPr defaultColWidth="9.00390625" defaultRowHeight="12.75"/>
  <cols>
    <col min="1" max="1" width="11.875" style="38" customWidth="1"/>
    <col min="2" max="2" width="17.00390625" style="38" customWidth="1"/>
    <col min="3" max="3" width="9.875" style="38" customWidth="1"/>
    <col min="4" max="4" width="14.125" style="38" customWidth="1"/>
    <col min="5" max="16384" width="9.125" style="38" customWidth="1"/>
  </cols>
  <sheetData>
    <row r="1" spans="1:6" ht="12.75">
      <c r="A1" s="37" t="s">
        <v>149</v>
      </c>
      <c r="B1" s="37"/>
      <c r="C1" s="37"/>
      <c r="D1" s="37"/>
      <c r="E1" s="37"/>
      <c r="F1" s="37"/>
    </row>
    <row r="2" spans="1:6" ht="12.75">
      <c r="A2" s="37" t="s">
        <v>150</v>
      </c>
      <c r="B2" s="37"/>
      <c r="C2" s="37"/>
      <c r="D2" s="37"/>
      <c r="E2" s="37"/>
      <c r="F2" s="37"/>
    </row>
    <row r="4" ht="12.75">
      <c r="A4" s="38" t="s">
        <v>151</v>
      </c>
    </row>
    <row r="7" spans="1:7" ht="63.75">
      <c r="A7" s="49" t="s">
        <v>68</v>
      </c>
      <c r="B7" s="50" t="s">
        <v>152</v>
      </c>
      <c r="C7" s="50" t="s">
        <v>153</v>
      </c>
      <c r="D7" s="50" t="s">
        <v>154</v>
      </c>
      <c r="E7" s="50" t="s">
        <v>155</v>
      </c>
      <c r="F7" s="51"/>
      <c r="G7" s="51"/>
    </row>
    <row r="8" spans="1:5" ht="12.75">
      <c r="A8" s="39" t="s">
        <v>156</v>
      </c>
      <c r="B8" s="39">
        <v>42.705</v>
      </c>
      <c r="C8" s="39"/>
      <c r="D8" s="52">
        <v>1.72</v>
      </c>
      <c r="E8" s="39">
        <v>44.425</v>
      </c>
    </row>
    <row r="9" spans="1:5" ht="12.75">
      <c r="A9" s="39">
        <v>16</v>
      </c>
      <c r="B9" s="39">
        <v>66.179</v>
      </c>
      <c r="C9" s="39"/>
      <c r="D9" s="52">
        <v>1.72</v>
      </c>
      <c r="E9" s="39">
        <v>67.899</v>
      </c>
    </row>
    <row r="10" spans="1:5" ht="12.75">
      <c r="A10" s="39">
        <v>17</v>
      </c>
      <c r="B10" s="39">
        <v>53.026</v>
      </c>
      <c r="C10" s="39"/>
      <c r="D10" s="52">
        <v>1.72</v>
      </c>
      <c r="E10" s="39">
        <v>54.746</v>
      </c>
    </row>
    <row r="11" spans="1:5" ht="12.75">
      <c r="A11" s="39">
        <v>21</v>
      </c>
      <c r="B11" s="39">
        <v>30.713</v>
      </c>
      <c r="C11" s="39"/>
      <c r="D11" s="52">
        <v>1.72</v>
      </c>
      <c r="E11" s="39">
        <v>32.433</v>
      </c>
    </row>
    <row r="12" spans="1:5" ht="12.75">
      <c r="A12" s="39">
        <v>22</v>
      </c>
      <c r="B12" s="39">
        <v>26.599</v>
      </c>
      <c r="C12" s="39"/>
      <c r="D12" s="52">
        <v>1.72</v>
      </c>
      <c r="E12" s="39">
        <v>28.319</v>
      </c>
    </row>
    <row r="13" spans="1:5" ht="12.75">
      <c r="A13" s="39">
        <v>45</v>
      </c>
      <c r="B13" s="39">
        <v>60.119</v>
      </c>
      <c r="C13" s="39"/>
      <c r="D13" s="52">
        <v>1.72</v>
      </c>
      <c r="E13" s="39">
        <v>61.839</v>
      </c>
    </row>
    <row r="14" spans="1:5" ht="12.75">
      <c r="A14" s="39">
        <v>86</v>
      </c>
      <c r="B14" s="39">
        <v>59.831</v>
      </c>
      <c r="C14" s="39"/>
      <c r="D14" s="52">
        <v>1.72</v>
      </c>
      <c r="E14" s="39">
        <v>61.551</v>
      </c>
    </row>
    <row r="15" spans="1:5" ht="12.75">
      <c r="A15" s="39">
        <v>90</v>
      </c>
      <c r="B15" s="39">
        <v>61.71300000000001</v>
      </c>
      <c r="C15" s="39"/>
      <c r="D15" s="52">
        <v>1.72</v>
      </c>
      <c r="E15" s="39">
        <v>63.43300000000001</v>
      </c>
    </row>
    <row r="16" spans="1:5" ht="12.75">
      <c r="A16" s="39">
        <v>94</v>
      </c>
      <c r="B16" s="39">
        <v>57.225</v>
      </c>
      <c r="C16" s="52">
        <v>0.24</v>
      </c>
      <c r="D16" s="52">
        <v>1.72</v>
      </c>
      <c r="E16" s="39">
        <v>59.185</v>
      </c>
    </row>
    <row r="17" spans="1:5" ht="12.75">
      <c r="A17" s="39">
        <v>116</v>
      </c>
      <c r="B17" s="39">
        <v>28.926000000000002</v>
      </c>
      <c r="C17" s="52"/>
      <c r="D17" s="52">
        <v>1.72</v>
      </c>
      <c r="E17" s="39">
        <v>30.646</v>
      </c>
    </row>
    <row r="18" spans="1:5" ht="12.75">
      <c r="A18" s="39">
        <v>206</v>
      </c>
      <c r="B18" s="39">
        <v>34.812999999999995</v>
      </c>
      <c r="C18" s="52"/>
      <c r="D18" s="52">
        <v>1.72</v>
      </c>
      <c r="E18" s="39">
        <v>36.532999999999994</v>
      </c>
    </row>
    <row r="19" spans="1:5" ht="12.75">
      <c r="A19" s="39">
        <v>267</v>
      </c>
      <c r="B19" s="39">
        <v>59.397000000000006</v>
      </c>
      <c r="C19" s="52"/>
      <c r="D19" s="52">
        <v>1.72</v>
      </c>
      <c r="E19" s="39">
        <v>61.117000000000004</v>
      </c>
    </row>
    <row r="20" spans="1:5" ht="12.75">
      <c r="A20" s="39">
        <v>269</v>
      </c>
      <c r="B20" s="39">
        <v>57.97800000000001</v>
      </c>
      <c r="C20" s="52"/>
      <c r="D20" s="52">
        <v>1.72</v>
      </c>
      <c r="E20" s="39">
        <v>59.69800000000001</v>
      </c>
    </row>
    <row r="21" spans="1:5" ht="12.75">
      <c r="A21" s="39">
        <v>278</v>
      </c>
      <c r="B21" s="39">
        <v>52.903999999999996</v>
      </c>
      <c r="C21" s="52"/>
      <c r="D21" s="52">
        <v>1.72</v>
      </c>
      <c r="E21" s="39">
        <v>54.623999999999995</v>
      </c>
    </row>
    <row r="22" spans="1:5" ht="12.75">
      <c r="A22" s="39">
        <v>317</v>
      </c>
      <c r="B22" s="39">
        <v>59.416000000000004</v>
      </c>
      <c r="C22" s="52"/>
      <c r="D22" s="52">
        <v>1.72</v>
      </c>
      <c r="E22" s="39">
        <v>61.136</v>
      </c>
    </row>
    <row r="23" spans="1:5" ht="12.75">
      <c r="A23" s="39">
        <v>323</v>
      </c>
      <c r="B23" s="39">
        <v>28.730999999999995</v>
      </c>
      <c r="C23" s="52"/>
      <c r="D23" s="52">
        <v>1.72</v>
      </c>
      <c r="E23" s="39">
        <v>30.450999999999993</v>
      </c>
    </row>
    <row r="24" spans="1:5" ht="12.75">
      <c r="A24" s="39">
        <v>334</v>
      </c>
      <c r="B24" s="39">
        <v>57.583</v>
      </c>
      <c r="C24" s="52"/>
      <c r="D24" s="52">
        <v>1.72</v>
      </c>
      <c r="E24" s="39">
        <v>59.303</v>
      </c>
    </row>
    <row r="25" spans="1:5" ht="12.75">
      <c r="A25" s="39">
        <v>348</v>
      </c>
      <c r="B25" s="52">
        <v>59.38</v>
      </c>
      <c r="C25" s="52"/>
      <c r="D25" s="52">
        <v>1.72</v>
      </c>
      <c r="E25" s="52">
        <v>61.1</v>
      </c>
    </row>
    <row r="26" spans="1:5" ht="12.75">
      <c r="A26" s="39">
        <v>350</v>
      </c>
      <c r="B26" s="39">
        <v>62.923</v>
      </c>
      <c r="C26" s="52"/>
      <c r="D26" s="52">
        <v>1.72</v>
      </c>
      <c r="E26" s="39">
        <v>64.643</v>
      </c>
    </row>
    <row r="27" spans="1:5" ht="12.75">
      <c r="A27" s="39">
        <v>379</v>
      </c>
      <c r="B27" s="39">
        <v>1.955</v>
      </c>
      <c r="C27" s="52"/>
      <c r="D27" s="52">
        <v>0.44</v>
      </c>
      <c r="E27" s="39">
        <v>2.395</v>
      </c>
    </row>
    <row r="28" spans="1:5" ht="12.75">
      <c r="A28" s="39">
        <v>393</v>
      </c>
      <c r="B28" s="39">
        <v>33.498</v>
      </c>
      <c r="C28" s="52"/>
      <c r="D28" s="52">
        <v>1.72</v>
      </c>
      <c r="E28" s="39">
        <v>35.217999999999996</v>
      </c>
    </row>
    <row r="29" spans="1:5" ht="12.75">
      <c r="A29" s="39">
        <v>400</v>
      </c>
      <c r="B29" s="39">
        <v>60.541</v>
      </c>
      <c r="C29" s="52"/>
      <c r="D29" s="52">
        <v>1.72</v>
      </c>
      <c r="E29" s="39">
        <v>62.260999999999996</v>
      </c>
    </row>
    <row r="30" spans="1:5" ht="12.75">
      <c r="A30" s="39">
        <v>401</v>
      </c>
      <c r="B30" s="39">
        <v>59.647</v>
      </c>
      <c r="C30" s="52"/>
      <c r="D30" s="52">
        <v>1.72</v>
      </c>
      <c r="E30" s="39">
        <v>61.367</v>
      </c>
    </row>
    <row r="31" spans="1:5" ht="12.75">
      <c r="A31" s="39">
        <v>402</v>
      </c>
      <c r="B31" s="39">
        <v>33.183</v>
      </c>
      <c r="C31" s="52"/>
      <c r="D31" s="52">
        <v>1.72</v>
      </c>
      <c r="E31" s="39">
        <v>34.903</v>
      </c>
    </row>
    <row r="32" spans="1:5" ht="12.75">
      <c r="A32" s="39" t="s">
        <v>48</v>
      </c>
      <c r="B32" s="39">
        <v>1148.985</v>
      </c>
      <c r="C32" s="52">
        <v>0.24</v>
      </c>
      <c r="D32" s="52">
        <v>40</v>
      </c>
      <c r="E32" s="39">
        <v>1189.225</v>
      </c>
    </row>
    <row r="35" ht="12.75">
      <c r="A35" s="38" t="s">
        <v>65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АНД Районый исполнительный 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 Дмитриевна</dc:creator>
  <cp:keywords/>
  <dc:description/>
  <cp:lastModifiedBy>User</cp:lastModifiedBy>
  <dcterms:created xsi:type="dcterms:W3CDTF">2015-02-19T11:54:23Z</dcterms:created>
  <dcterms:modified xsi:type="dcterms:W3CDTF">2015-02-19T15:00:50Z</dcterms:modified>
  <cp:category/>
  <cp:version/>
  <cp:contentType/>
  <cp:contentStatus/>
</cp:coreProperties>
</file>